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2.xml" ContentType="application/vnd.openxmlformats-officedocument.drawing+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delphine.gnecchi\Desktop\addicto\"/>
    </mc:Choice>
  </mc:AlternateContent>
  <bookViews>
    <workbookView xWindow="28680" yWindow="-120" windowWidth="29040" windowHeight="15840"/>
  </bookViews>
  <sheets>
    <sheet name="Présentation globale" sheetId="1" r:id="rId1"/>
    <sheet name="Accès via professionnels " sheetId="3" r:id="rId2"/>
    <sheet name="Cotes d'Or (21)" sheetId="19" r:id="rId3"/>
    <sheet name="Jura (39)" sheetId="23" r:id="rId4"/>
    <sheet name="Nievre (58)" sheetId="24" r:id="rId5"/>
    <sheet name="Doubs (25)" sheetId="20" r:id="rId6"/>
    <sheet name="Haute-Saône (70)" sheetId="25" r:id="rId7"/>
    <sheet name="Saône-et-Loire (71)" sheetId="26" r:id="rId8"/>
    <sheet name="Yonne (89)" sheetId="22" r:id="rId9"/>
    <sheet name="Territoire de Belfort (90)" sheetId="27" r:id="rId10"/>
    <sheet name="Nord-Franche-Comté" sheetId="28" r:id="rId11"/>
    <sheet name="Sevrage simple" sheetId="6" state="hidden" r:id="rId12"/>
    <sheet name="Soins complexes" sheetId="7" state="hidden" r:id="rId13"/>
    <sheet name="ELSA" sheetId="8" state="hidden" r:id="rId14"/>
    <sheet name="Hospi de jour" sheetId="16" state="hidden" r:id="rId15"/>
    <sheet name="Penitentier" sheetId="17" state="hidden" r:id="rId16"/>
    <sheet name="SSRA2" sheetId="9" state="hidden" r:id="rId17"/>
    <sheet name="Acces direct" sheetId="10" r:id="rId18"/>
  </sheets>
  <definedNames>
    <definedName name="_xlnm._FilterDatabase" localSheetId="17" hidden="1">'Acces direct'!$C$5:$N$136</definedName>
    <definedName name="_xlnm._FilterDatabase" localSheetId="6" hidden="1">'Haute-Saône (70)'!$C$5:$N$31</definedName>
    <definedName name="_xlnm._FilterDatabase" localSheetId="4" hidden="1">'Nievre (58)'!$C$5:$N$5</definedName>
    <definedName name="_xlnm._FilterDatabase" localSheetId="7" hidden="1">'Saône-et-Loire (71)'!$C$5:$N$32</definedName>
    <definedName name="_xlnm._FilterDatabase" localSheetId="9" hidden="1">'Territoire de Belfort (90)'!$C$5:$N$17</definedName>
    <definedName name="_xlnm._FilterDatabase" localSheetId="8" hidden="1">'Yonne (89)'!$C$5:$N$5</definedName>
    <definedName name="asso">'Sevrage simple'!#REF!</definedName>
    <definedName name="CAARUD">#REF!</definedName>
    <definedName name="CAARUDCotesdOr">'Cotes d''Or (21)'!#REF!</definedName>
    <definedName name="CEACotesdOr">'Cotes d''Or (21)'!#REF!</definedName>
    <definedName name="Centre">#REF!</definedName>
    <definedName name="ch">#REF!</definedName>
    <definedName name="CJC">#REF!</definedName>
    <definedName name="CJCCotesdOr">'Cotes d''Or (21)'!#REF!</definedName>
    <definedName name="CSAPA">#REF!</definedName>
    <definedName name="CSAPACotesdOr">'Cotes d''Or (21)'!#REF!</definedName>
    <definedName name="elsa">ELSA!#REF!</definedName>
    <definedName name="ELSACotesdOr">'Cotes d''Or (21)'!#REF!</definedName>
    <definedName name="hospijour">'Hospi de jour'!$B$1</definedName>
    <definedName name="HospijourCotesdOr">'Cotes d''Or (21)'!#REF!</definedName>
    <definedName name="LitsCotesdOr">'Cotes d''Or (21)'!#REF!</definedName>
    <definedName name="medico">'Présentation globale'!$K$222</definedName>
    <definedName name="péni" localSheetId="14">'Hospi de jour'!$B$1</definedName>
    <definedName name="péni" localSheetId="15">Penitentier!$B$1</definedName>
    <definedName name="péni">SSRA2!$B$1</definedName>
    <definedName name="penimss">#REF!</definedName>
    <definedName name="sanitaire">'Présentation globale'!$K$129</definedName>
    <definedName name="SMRACotesdOr">'Cotes d''Or (21)'!#REF!</definedName>
    <definedName name="sommaire">'Présentation globale'!$C$2</definedName>
    <definedName name="ssra">'Soins complexes'!#REF!</definedName>
    <definedName name="SSRA2" localSheetId="15">Penitentier!$B$1</definedName>
    <definedName name="SSRA2">SSRA2!$B$1</definedName>
    <definedName name="ssrasani" localSheetId="15">Penitentier!$B$1</definedName>
    <definedName name="ssrasani">SSRA2!$B$1</definedName>
    <definedName name="toutes_ss" localSheetId="17">'Acces direct'!$C$3</definedName>
    <definedName name="toutes_ss">'Accès via professionnels '!$C$3</definedName>
    <definedName name="UniteCotesdOr">'Cotes d''Or (21)'!#REF!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6" i="25" l="1"/>
  <c r="C37" i="25" l="1"/>
  <c r="D37" i="25"/>
  <c r="E37" i="25"/>
  <c r="F37" i="25"/>
  <c r="G37" i="25"/>
  <c r="H37" i="25"/>
  <c r="I37" i="25"/>
  <c r="J37" i="25"/>
  <c r="K37" i="25"/>
  <c r="L37" i="25"/>
  <c r="M37" i="25"/>
  <c r="N37" i="25"/>
  <c r="I12" i="28" l="1"/>
  <c r="C8" i="25"/>
  <c r="D8" i="25"/>
  <c r="E8" i="25"/>
  <c r="F8" i="25"/>
  <c r="G8" i="25"/>
  <c r="H8" i="25"/>
  <c r="I8" i="25"/>
  <c r="J8" i="25"/>
  <c r="K8" i="25"/>
  <c r="L8" i="25"/>
  <c r="M8" i="25"/>
  <c r="N8" i="25"/>
  <c r="C18" i="26"/>
  <c r="D18" i="26"/>
  <c r="E18" i="26"/>
  <c r="F18" i="26"/>
  <c r="G18" i="26"/>
  <c r="H18" i="26"/>
  <c r="I18" i="26"/>
  <c r="J18" i="26"/>
  <c r="K18" i="26"/>
  <c r="L18" i="26"/>
  <c r="M18" i="26"/>
  <c r="N18" i="26"/>
  <c r="C19" i="26"/>
  <c r="D19" i="26"/>
  <c r="E19" i="26"/>
  <c r="F19" i="26"/>
  <c r="G19" i="26"/>
  <c r="H19" i="26"/>
  <c r="I19" i="26"/>
  <c r="J19" i="26"/>
  <c r="K19" i="26"/>
  <c r="L19" i="26"/>
  <c r="M19" i="26"/>
  <c r="N19" i="26"/>
  <c r="C12" i="28"/>
  <c r="D12" i="28"/>
  <c r="E12" i="28"/>
  <c r="F12" i="28"/>
  <c r="G12" i="28"/>
  <c r="H12" i="28"/>
  <c r="J12" i="28"/>
  <c r="K12" i="28"/>
  <c r="L12" i="28"/>
  <c r="M12" i="28"/>
  <c r="C27" i="23" l="1"/>
  <c r="D27" i="23"/>
  <c r="E27" i="23"/>
  <c r="F27" i="23"/>
  <c r="G27" i="23"/>
  <c r="H27" i="23"/>
  <c r="I27" i="23"/>
  <c r="J27" i="23"/>
  <c r="K27" i="23"/>
  <c r="L27" i="23"/>
  <c r="M27" i="23"/>
  <c r="N27" i="23"/>
  <c r="C46" i="20"/>
  <c r="D46" i="20"/>
  <c r="E46" i="20"/>
  <c r="F46" i="20"/>
  <c r="G46" i="20"/>
  <c r="H46" i="20"/>
  <c r="I46" i="20"/>
  <c r="J46" i="20"/>
  <c r="K46" i="20"/>
  <c r="M46" i="20"/>
  <c r="N46" i="20"/>
  <c r="C12" i="20"/>
  <c r="D12" i="20"/>
  <c r="E12" i="20"/>
  <c r="F12" i="20"/>
  <c r="G12" i="20"/>
  <c r="H12" i="20"/>
  <c r="I12" i="20"/>
  <c r="J12" i="20"/>
  <c r="K12" i="20"/>
  <c r="L12" i="20"/>
  <c r="M12" i="20"/>
  <c r="N12" i="20"/>
  <c r="C45" i="20"/>
  <c r="D45" i="20"/>
  <c r="E45" i="20"/>
  <c r="F45" i="20"/>
  <c r="G45" i="20"/>
  <c r="H45" i="20"/>
  <c r="I45" i="20"/>
  <c r="J45" i="20"/>
  <c r="K45" i="20"/>
  <c r="L45" i="20"/>
  <c r="M45" i="20"/>
  <c r="N45" i="20"/>
  <c r="C10" i="27"/>
  <c r="D10" i="27"/>
  <c r="E10" i="27"/>
  <c r="F10" i="27"/>
  <c r="G10" i="27"/>
  <c r="H10" i="27"/>
  <c r="I10" i="27"/>
  <c r="J10" i="27"/>
  <c r="K10" i="27"/>
  <c r="L10" i="27"/>
  <c r="M10" i="27"/>
  <c r="N10" i="27"/>
  <c r="C13" i="28"/>
  <c r="D13" i="28"/>
  <c r="E13" i="28"/>
  <c r="F13" i="28"/>
  <c r="G13" i="28"/>
  <c r="H13" i="28"/>
  <c r="I13" i="28"/>
  <c r="J13" i="28"/>
  <c r="K13" i="28"/>
  <c r="L13" i="28"/>
  <c r="M13" i="28"/>
  <c r="C25" i="22"/>
  <c r="D25" i="22"/>
  <c r="E25" i="22"/>
  <c r="F25" i="22"/>
  <c r="G25" i="22"/>
  <c r="H25" i="22"/>
  <c r="I25" i="22"/>
  <c r="J25" i="22"/>
  <c r="K25" i="22"/>
  <c r="L25" i="22"/>
  <c r="C26" i="22"/>
  <c r="D26" i="22"/>
  <c r="E26" i="22"/>
  <c r="F26" i="22"/>
  <c r="G26" i="22"/>
  <c r="H26" i="22"/>
  <c r="I26" i="22"/>
  <c r="J26" i="22"/>
  <c r="K26" i="22"/>
  <c r="L26" i="22"/>
  <c r="N26" i="22"/>
  <c r="C6" i="27"/>
  <c r="C8" i="27"/>
  <c r="C15" i="27"/>
  <c r="C7" i="27"/>
  <c r="C11" i="27"/>
  <c r="C16" i="27"/>
  <c r="C12" i="27"/>
  <c r="C9" i="27"/>
  <c r="C14" i="27"/>
  <c r="C17" i="27"/>
  <c r="C13" i="27"/>
  <c r="D6" i="27"/>
  <c r="D8" i="27"/>
  <c r="D15" i="27"/>
  <c r="D7" i="27"/>
  <c r="D11" i="27"/>
  <c r="D16" i="27"/>
  <c r="D12" i="27"/>
  <c r="D9" i="27"/>
  <c r="D14" i="27"/>
  <c r="D17" i="27"/>
  <c r="D13" i="27"/>
  <c r="E6" i="27"/>
  <c r="E8" i="27"/>
  <c r="E15" i="27"/>
  <c r="E7" i="27"/>
  <c r="E11" i="27"/>
  <c r="E16" i="27"/>
  <c r="E12" i="27"/>
  <c r="E9" i="27"/>
  <c r="E14" i="27"/>
  <c r="E17" i="27"/>
  <c r="E13" i="27"/>
  <c r="F6" i="27"/>
  <c r="F8" i="27"/>
  <c r="F15" i="27"/>
  <c r="F7" i="27"/>
  <c r="F11" i="27"/>
  <c r="F16" i="27"/>
  <c r="F12" i="27"/>
  <c r="F9" i="27"/>
  <c r="F14" i="27"/>
  <c r="F17" i="27"/>
  <c r="F13" i="27"/>
  <c r="G6" i="27"/>
  <c r="G8" i="27"/>
  <c r="G15" i="27"/>
  <c r="G7" i="27"/>
  <c r="G11" i="27"/>
  <c r="G16" i="27"/>
  <c r="G12" i="27"/>
  <c r="G9" i="27"/>
  <c r="G14" i="27"/>
  <c r="G17" i="27"/>
  <c r="G13" i="27"/>
  <c r="H6" i="27"/>
  <c r="H8" i="27"/>
  <c r="H15" i="27"/>
  <c r="H7" i="27"/>
  <c r="H11" i="27"/>
  <c r="H16" i="27"/>
  <c r="H12" i="27"/>
  <c r="H9" i="27"/>
  <c r="H14" i="27"/>
  <c r="H17" i="27"/>
  <c r="H13" i="27"/>
  <c r="I6" i="27"/>
  <c r="I8" i="27"/>
  <c r="I15" i="27"/>
  <c r="I7" i="27"/>
  <c r="I11" i="27"/>
  <c r="I16" i="27"/>
  <c r="I12" i="27"/>
  <c r="I9" i="27"/>
  <c r="I14" i="27"/>
  <c r="I17" i="27"/>
  <c r="I13" i="27"/>
  <c r="J6" i="27"/>
  <c r="J8" i="27"/>
  <c r="J15" i="27"/>
  <c r="J7" i="27"/>
  <c r="J11" i="27"/>
  <c r="J16" i="27"/>
  <c r="J12" i="27"/>
  <c r="J9" i="27"/>
  <c r="J14" i="27"/>
  <c r="J17" i="27"/>
  <c r="J13" i="27"/>
  <c r="K6" i="27"/>
  <c r="K8" i="27"/>
  <c r="K15" i="27"/>
  <c r="K7" i="27"/>
  <c r="K11" i="27"/>
  <c r="K16" i="27"/>
  <c r="K12" i="27"/>
  <c r="K9" i="27"/>
  <c r="K14" i="27"/>
  <c r="K17" i="27"/>
  <c r="K13" i="27"/>
  <c r="L6" i="27"/>
  <c r="L8" i="27"/>
  <c r="L15" i="27"/>
  <c r="L7" i="27"/>
  <c r="L11" i="27"/>
  <c r="L16" i="27"/>
  <c r="L12" i="27"/>
  <c r="L9" i="27"/>
  <c r="L14" i="27"/>
  <c r="L17" i="27"/>
  <c r="L13" i="27"/>
  <c r="M6" i="27"/>
  <c r="M8" i="27"/>
  <c r="M15" i="27"/>
  <c r="M7" i="27"/>
  <c r="M11" i="27"/>
  <c r="M16" i="27"/>
  <c r="M12" i="27"/>
  <c r="M9" i="27"/>
  <c r="M14" i="27"/>
  <c r="M17" i="27"/>
  <c r="M13" i="27"/>
  <c r="N6" i="27"/>
  <c r="N8" i="27"/>
  <c r="N15" i="27"/>
  <c r="N7" i="27"/>
  <c r="N11" i="27"/>
  <c r="N16" i="27"/>
  <c r="N12" i="27"/>
  <c r="N9" i="27"/>
  <c r="N14" i="27"/>
  <c r="N17" i="27"/>
  <c r="N13" i="27"/>
  <c r="M36" i="19"/>
  <c r="M32" i="19"/>
  <c r="M35" i="19"/>
  <c r="M31" i="19"/>
  <c r="M33" i="19"/>
  <c r="N17" i="19"/>
  <c r="N7" i="19"/>
  <c r="N14" i="19"/>
  <c r="N41" i="19"/>
  <c r="N48" i="19"/>
  <c r="N47" i="19"/>
  <c r="N49" i="19"/>
  <c r="N15" i="19"/>
  <c r="N18" i="19"/>
  <c r="N19" i="19"/>
  <c r="N20" i="19"/>
  <c r="N12" i="19"/>
  <c r="N10" i="19"/>
  <c r="N13" i="19"/>
  <c r="N22" i="19"/>
  <c r="N23" i="19"/>
  <c r="N46" i="19"/>
  <c r="N24" i="19"/>
  <c r="N34" i="19"/>
  <c r="N38" i="19"/>
  <c r="N40" i="19"/>
  <c r="N8" i="19"/>
  <c r="N33" i="19"/>
  <c r="N31" i="19"/>
  <c r="N35" i="19"/>
  <c r="N21" i="19"/>
  <c r="N32" i="19"/>
  <c r="N36" i="19"/>
  <c r="N37" i="19"/>
  <c r="N39" i="19"/>
  <c r="N9" i="19"/>
  <c r="N6" i="19"/>
  <c r="N11" i="19"/>
  <c r="N42" i="19"/>
  <c r="N43" i="19"/>
  <c r="N26" i="19"/>
  <c r="N45" i="19"/>
  <c r="N16" i="19"/>
  <c r="N25" i="19"/>
  <c r="N44" i="19"/>
  <c r="N27" i="19"/>
  <c r="N28" i="19"/>
  <c r="N29" i="19"/>
  <c r="N30" i="19"/>
  <c r="L43" i="19"/>
  <c r="L42" i="19"/>
  <c r="L11" i="19"/>
  <c r="M29" i="19"/>
  <c r="M28" i="19"/>
  <c r="L44" i="19"/>
  <c r="L16" i="19"/>
  <c r="L45" i="19"/>
  <c r="K45" i="19"/>
  <c r="K17" i="19"/>
  <c r="K7" i="19"/>
  <c r="K14" i="19"/>
  <c r="K41" i="19"/>
  <c r="K48" i="19"/>
  <c r="K47" i="19"/>
  <c r="K49" i="19"/>
  <c r="K15" i="19"/>
  <c r="K18" i="19"/>
  <c r="K19" i="19"/>
  <c r="K20" i="19"/>
  <c r="K12" i="19"/>
  <c r="K10" i="19"/>
  <c r="K13" i="19"/>
  <c r="K22" i="19"/>
  <c r="K23" i="19"/>
  <c r="K46" i="19"/>
  <c r="K24" i="19"/>
  <c r="K34" i="19"/>
  <c r="K38" i="19"/>
  <c r="K40" i="19"/>
  <c r="K8" i="19"/>
  <c r="K33" i="19"/>
  <c r="K31" i="19"/>
  <c r="K35" i="19"/>
  <c r="K21" i="19"/>
  <c r="K32" i="19"/>
  <c r="K36" i="19"/>
  <c r="K37" i="19"/>
  <c r="K39" i="19"/>
  <c r="K9" i="19"/>
  <c r="K6" i="19"/>
  <c r="K11" i="19"/>
  <c r="K42" i="19"/>
  <c r="K43" i="19"/>
  <c r="K26" i="19"/>
  <c r="K16" i="19"/>
  <c r="K25" i="19"/>
  <c r="K44" i="19"/>
  <c r="K27" i="19"/>
  <c r="K28" i="19"/>
  <c r="K29" i="19"/>
  <c r="K30" i="19"/>
  <c r="J17" i="19"/>
  <c r="J7" i="19"/>
  <c r="J14" i="19"/>
  <c r="J41" i="19"/>
  <c r="J48" i="19"/>
  <c r="J47" i="19"/>
  <c r="J49" i="19"/>
  <c r="J15" i="19"/>
  <c r="J18" i="19"/>
  <c r="J19" i="19"/>
  <c r="J20" i="19"/>
  <c r="J12" i="19"/>
  <c r="J10" i="19"/>
  <c r="J13" i="19"/>
  <c r="J22" i="19"/>
  <c r="J23" i="19"/>
  <c r="J46" i="19"/>
  <c r="J24" i="19"/>
  <c r="J34" i="19"/>
  <c r="J38" i="19"/>
  <c r="J40" i="19"/>
  <c r="J8" i="19"/>
  <c r="J33" i="19"/>
  <c r="J31" i="19"/>
  <c r="J35" i="19"/>
  <c r="J21" i="19"/>
  <c r="J32" i="19"/>
  <c r="J36" i="19"/>
  <c r="J37" i="19"/>
  <c r="J39" i="19"/>
  <c r="J9" i="19"/>
  <c r="J6" i="19"/>
  <c r="J11" i="19"/>
  <c r="J42" i="19"/>
  <c r="J43" i="19"/>
  <c r="J26" i="19"/>
  <c r="J45" i="19"/>
  <c r="J16" i="19"/>
  <c r="J25" i="19"/>
  <c r="J44" i="19"/>
  <c r="J27" i="19"/>
  <c r="J28" i="19"/>
  <c r="J29" i="19"/>
  <c r="J30" i="19"/>
  <c r="H17" i="19"/>
  <c r="H7" i="19"/>
  <c r="H14" i="19"/>
  <c r="H41" i="19"/>
  <c r="H48" i="19"/>
  <c r="H47" i="19"/>
  <c r="H49" i="19"/>
  <c r="H15" i="19"/>
  <c r="H18" i="19"/>
  <c r="H19" i="19"/>
  <c r="H20" i="19"/>
  <c r="H12" i="19"/>
  <c r="H10" i="19"/>
  <c r="H13" i="19"/>
  <c r="H22" i="19"/>
  <c r="H23" i="19"/>
  <c r="H46" i="19"/>
  <c r="H24" i="19"/>
  <c r="H34" i="19"/>
  <c r="H38" i="19"/>
  <c r="H40" i="19"/>
  <c r="H8" i="19"/>
  <c r="H33" i="19"/>
  <c r="H31" i="19"/>
  <c r="H35" i="19"/>
  <c r="H21" i="19"/>
  <c r="H32" i="19"/>
  <c r="H36" i="19"/>
  <c r="H37" i="19"/>
  <c r="H39" i="19"/>
  <c r="H9" i="19"/>
  <c r="H6" i="19"/>
  <c r="H11" i="19"/>
  <c r="H42" i="19"/>
  <c r="H43" i="19"/>
  <c r="H26" i="19"/>
  <c r="H45" i="19"/>
  <c r="H16" i="19"/>
  <c r="H25" i="19"/>
  <c r="H44" i="19"/>
  <c r="H27" i="19"/>
  <c r="H28" i="19"/>
  <c r="H29" i="19"/>
  <c r="H30" i="19"/>
  <c r="G45" i="19"/>
  <c r="N17" i="10"/>
  <c r="N16" i="10"/>
  <c r="N21" i="10"/>
  <c r="N22" i="10"/>
  <c r="N23" i="10"/>
  <c r="N53" i="10"/>
  <c r="N54" i="10"/>
  <c r="N55" i="10"/>
  <c r="N56" i="10"/>
  <c r="N50" i="10"/>
  <c r="N51" i="10"/>
  <c r="N52" i="10"/>
  <c r="N66" i="10"/>
  <c r="N70" i="10"/>
  <c r="N67" i="10"/>
  <c r="N68" i="10"/>
  <c r="N64" i="10"/>
  <c r="N69" i="10"/>
  <c r="N63" i="10"/>
  <c r="N65" i="10"/>
  <c r="N75" i="10"/>
  <c r="N74" i="10"/>
  <c r="N76" i="10"/>
  <c r="N84" i="10"/>
  <c r="N114" i="10"/>
  <c r="N112" i="10"/>
  <c r="N113" i="10"/>
  <c r="N143" i="10"/>
  <c r="N144" i="10"/>
  <c r="N145" i="10"/>
  <c r="N146" i="10"/>
  <c r="N20" i="10"/>
  <c r="N30" i="10"/>
  <c r="N37" i="10"/>
  <c r="N41" i="10"/>
  <c r="N31" i="10"/>
  <c r="N32" i="10"/>
  <c r="N38" i="10"/>
  <c r="N33" i="10"/>
  <c r="N34" i="10"/>
  <c r="N35" i="10"/>
  <c r="N39" i="10"/>
  <c r="N36" i="10"/>
  <c r="N43" i="10"/>
  <c r="N90" i="10"/>
  <c r="N91" i="10"/>
  <c r="N108" i="10"/>
  <c r="N116" i="10"/>
  <c r="N115" i="10"/>
  <c r="N117" i="10"/>
  <c r="N122" i="10"/>
  <c r="N123" i="10"/>
  <c r="N129" i="10"/>
  <c r="N130" i="10"/>
  <c r="N132" i="10"/>
  <c r="N136" i="10"/>
  <c r="N133" i="10"/>
  <c r="N134" i="10"/>
  <c r="N135" i="10"/>
  <c r="N137" i="10"/>
  <c r="N138" i="10"/>
  <c r="N157" i="10"/>
  <c r="N77" i="10"/>
  <c r="N78" i="10"/>
  <c r="N79" i="10"/>
  <c r="N80" i="10"/>
  <c r="N82" i="10"/>
  <c r="N81" i="10"/>
  <c r="N86" i="10"/>
  <c r="N100" i="10"/>
  <c r="N98" i="10"/>
  <c r="N99" i="10"/>
  <c r="N101" i="10"/>
  <c r="N104" i="10"/>
  <c r="N102" i="10"/>
  <c r="N103" i="10"/>
  <c r="N105" i="10"/>
  <c r="N128" i="10"/>
  <c r="N139" i="10"/>
  <c r="N162" i="10"/>
  <c r="N163" i="10"/>
  <c r="N164" i="10"/>
  <c r="N158" i="10"/>
  <c r="N159" i="10"/>
  <c r="N160" i="10"/>
  <c r="N161" i="10"/>
  <c r="N165" i="10"/>
  <c r="N166" i="10"/>
  <c r="N6" i="10"/>
  <c r="N48" i="10"/>
  <c r="N59" i="10"/>
  <c r="N72" i="10"/>
  <c r="N71" i="10"/>
  <c r="N73" i="10"/>
  <c r="N92" i="10"/>
  <c r="N95" i="10"/>
  <c r="N93" i="10"/>
  <c r="N94" i="10"/>
  <c r="N96" i="10"/>
  <c r="N121" i="10"/>
  <c r="N140" i="10"/>
  <c r="N141" i="10"/>
  <c r="N142" i="10"/>
  <c r="N152" i="10"/>
  <c r="N49" i="10"/>
  <c r="N57" i="10"/>
  <c r="N58" i="10"/>
  <c r="N60" i="10"/>
  <c r="N61" i="10"/>
  <c r="N83" i="10"/>
  <c r="N124" i="10"/>
  <c r="N127" i="10"/>
  <c r="N125" i="10"/>
  <c r="N126" i="10"/>
  <c r="N153" i="10"/>
  <c r="N8" i="10"/>
  <c r="N42" i="10"/>
  <c r="N44" i="10"/>
  <c r="N47" i="10"/>
  <c r="N45" i="10"/>
  <c r="N46" i="10"/>
  <c r="N88" i="10"/>
  <c r="N89" i="10"/>
  <c r="N97" i="10"/>
  <c r="N107" i="10"/>
  <c r="N106" i="10"/>
  <c r="N118" i="10"/>
  <c r="N119" i="10"/>
  <c r="N120" i="10"/>
  <c r="N131" i="10"/>
  <c r="N27" i="10"/>
  <c r="N24" i="10"/>
  <c r="N25" i="10"/>
  <c r="N28" i="10"/>
  <c r="N26" i="10"/>
  <c r="N29" i="10"/>
  <c r="N62" i="10"/>
  <c r="N156" i="10"/>
  <c r="N155" i="10"/>
  <c r="N9" i="10"/>
  <c r="N14" i="10"/>
  <c r="N10" i="10"/>
  <c r="N11" i="10"/>
  <c r="N15" i="10"/>
  <c r="N12" i="10"/>
  <c r="N13" i="10"/>
  <c r="N19" i="10"/>
  <c r="N18" i="10"/>
  <c r="N85" i="10"/>
  <c r="N109" i="10"/>
  <c r="N110" i="10"/>
  <c r="N111" i="10"/>
  <c r="N151" i="10"/>
  <c r="N147" i="10"/>
  <c r="N148" i="10"/>
  <c r="N149" i="10"/>
  <c r="N150" i="10"/>
  <c r="N154" i="10"/>
  <c r="M17" i="10"/>
  <c r="M16" i="10"/>
  <c r="M21" i="10"/>
  <c r="M22" i="10"/>
  <c r="M23" i="10"/>
  <c r="M53" i="10"/>
  <c r="M54" i="10"/>
  <c r="M55" i="10"/>
  <c r="M56" i="10"/>
  <c r="M50" i="10"/>
  <c r="M51" i="10"/>
  <c r="M52" i="10"/>
  <c r="M66" i="10"/>
  <c r="M70" i="10"/>
  <c r="M67" i="10"/>
  <c r="M68" i="10"/>
  <c r="M64" i="10"/>
  <c r="M69" i="10"/>
  <c r="M63" i="10"/>
  <c r="M65" i="10"/>
  <c r="M75" i="10"/>
  <c r="M74" i="10"/>
  <c r="M76" i="10"/>
  <c r="M84" i="10"/>
  <c r="M114" i="10"/>
  <c r="M112" i="10"/>
  <c r="M113" i="10"/>
  <c r="M143" i="10"/>
  <c r="M144" i="10"/>
  <c r="M145" i="10"/>
  <c r="M146" i="10"/>
  <c r="M20" i="10"/>
  <c r="M30" i="10"/>
  <c r="M37" i="10"/>
  <c r="M41" i="10"/>
  <c r="M31" i="10"/>
  <c r="M40" i="10"/>
  <c r="M32" i="10"/>
  <c r="M38" i="10"/>
  <c r="M33" i="10"/>
  <c r="M34" i="10"/>
  <c r="M35" i="10"/>
  <c r="M39" i="10"/>
  <c r="M36" i="10"/>
  <c r="M43" i="10"/>
  <c r="M90" i="10"/>
  <c r="M91" i="10"/>
  <c r="M108" i="10"/>
  <c r="M116" i="10"/>
  <c r="M115" i="10"/>
  <c r="M117" i="10"/>
  <c r="M122" i="10"/>
  <c r="M123" i="10"/>
  <c r="M129" i="10"/>
  <c r="M130" i="10"/>
  <c r="M132" i="10"/>
  <c r="M136" i="10"/>
  <c r="M133" i="10"/>
  <c r="M134" i="10"/>
  <c r="M135" i="10"/>
  <c r="M137" i="10"/>
  <c r="M138" i="10"/>
  <c r="M157" i="10"/>
  <c r="M77" i="10"/>
  <c r="M78" i="10"/>
  <c r="M79" i="10"/>
  <c r="M80" i="10"/>
  <c r="M82" i="10"/>
  <c r="M81" i="10"/>
  <c r="M86" i="10"/>
  <c r="M100" i="10"/>
  <c r="M98" i="10"/>
  <c r="M99" i="10"/>
  <c r="M101" i="10"/>
  <c r="M104" i="10"/>
  <c r="M102" i="10"/>
  <c r="M103" i="10"/>
  <c r="M128" i="10"/>
  <c r="M139" i="10"/>
  <c r="M162" i="10"/>
  <c r="M163" i="10"/>
  <c r="M164" i="10"/>
  <c r="M158" i="10"/>
  <c r="M159" i="10"/>
  <c r="M160" i="10"/>
  <c r="M161" i="10"/>
  <c r="M166" i="10"/>
  <c r="M6" i="10"/>
  <c r="M48" i="10"/>
  <c r="M59" i="10"/>
  <c r="M72" i="10"/>
  <c r="M71" i="10"/>
  <c r="M73" i="10"/>
  <c r="M92" i="10"/>
  <c r="M95" i="10"/>
  <c r="M93" i="10"/>
  <c r="M94" i="10"/>
  <c r="M96" i="10"/>
  <c r="M121" i="10"/>
  <c r="M140" i="10"/>
  <c r="M141" i="10"/>
  <c r="M142" i="10"/>
  <c r="M152" i="10"/>
  <c r="M49" i="10"/>
  <c r="M57" i="10"/>
  <c r="M58" i="10"/>
  <c r="M60" i="10"/>
  <c r="M61" i="10"/>
  <c r="M83" i="10"/>
  <c r="M124" i="10"/>
  <c r="M127" i="10"/>
  <c r="M125" i="10"/>
  <c r="M126" i="10"/>
  <c r="M153" i="10"/>
  <c r="M7" i="10"/>
  <c r="M8" i="10"/>
  <c r="M42" i="10"/>
  <c r="M44" i="10"/>
  <c r="M47" i="10"/>
  <c r="M45" i="10"/>
  <c r="M46" i="10"/>
  <c r="M88" i="10"/>
  <c r="M89" i="10"/>
  <c r="M97" i="10"/>
  <c r="M107" i="10"/>
  <c r="M106" i="10"/>
  <c r="M118" i="10"/>
  <c r="M119" i="10"/>
  <c r="M120" i="10"/>
  <c r="M131" i="10"/>
  <c r="M27" i="10"/>
  <c r="M24" i="10"/>
  <c r="M25" i="10"/>
  <c r="M28" i="10"/>
  <c r="M26" i="10"/>
  <c r="M29" i="10"/>
  <c r="M62" i="10"/>
  <c r="M156" i="10"/>
  <c r="M155" i="10"/>
  <c r="M9" i="10"/>
  <c r="M14" i="10"/>
  <c r="M10" i="10"/>
  <c r="M11" i="10"/>
  <c r="M15" i="10"/>
  <c r="M12" i="10"/>
  <c r="M13" i="10"/>
  <c r="M19" i="10"/>
  <c r="M18" i="10"/>
  <c r="M85" i="10"/>
  <c r="M109" i="10"/>
  <c r="M110" i="10"/>
  <c r="M111" i="10"/>
  <c r="M151" i="10"/>
  <c r="M147" i="10"/>
  <c r="M148" i="10"/>
  <c r="M149" i="10"/>
  <c r="M150" i="10"/>
  <c r="M154" i="10"/>
  <c r="L17" i="10"/>
  <c r="L16" i="10"/>
  <c r="L21" i="10"/>
  <c r="L22" i="10"/>
  <c r="L23" i="10"/>
  <c r="L53" i="10"/>
  <c r="L54" i="10"/>
  <c r="L55" i="10"/>
  <c r="L56" i="10"/>
  <c r="L50" i="10"/>
  <c r="L51" i="10"/>
  <c r="L52" i="10"/>
  <c r="L66" i="10"/>
  <c r="L70" i="10"/>
  <c r="L67" i="10"/>
  <c r="L68" i="10"/>
  <c r="L64" i="10"/>
  <c r="L69" i="10"/>
  <c r="L63" i="10"/>
  <c r="L65" i="10"/>
  <c r="L75" i="10"/>
  <c r="L74" i="10"/>
  <c r="L76" i="10"/>
  <c r="L84" i="10"/>
  <c r="L114" i="10"/>
  <c r="L112" i="10"/>
  <c r="L113" i="10"/>
  <c r="L143" i="10"/>
  <c r="L144" i="10"/>
  <c r="L145" i="10"/>
  <c r="L146" i="10"/>
  <c r="L20" i="10"/>
  <c r="L30" i="10"/>
  <c r="L37" i="10"/>
  <c r="L41" i="10"/>
  <c r="L31" i="10"/>
  <c r="L40" i="10"/>
  <c r="L32" i="10"/>
  <c r="L38" i="10"/>
  <c r="L33" i="10"/>
  <c r="L34" i="10"/>
  <c r="L35" i="10"/>
  <c r="L39" i="10"/>
  <c r="L36" i="10"/>
  <c r="L43" i="10"/>
  <c r="L90" i="10"/>
  <c r="L91" i="10"/>
  <c r="L108" i="10"/>
  <c r="L116" i="10"/>
  <c r="L115" i="10"/>
  <c r="L117" i="10"/>
  <c r="L122" i="10"/>
  <c r="L123" i="10"/>
  <c r="L129" i="10"/>
  <c r="L130" i="10"/>
  <c r="L132" i="10"/>
  <c r="L136" i="10"/>
  <c r="L133" i="10"/>
  <c r="L134" i="10"/>
  <c r="L135" i="10"/>
  <c r="L137" i="10"/>
  <c r="L138" i="10"/>
  <c r="L157" i="10"/>
  <c r="L77" i="10"/>
  <c r="L78" i="10"/>
  <c r="L79" i="10"/>
  <c r="L80" i="10"/>
  <c r="L82" i="10"/>
  <c r="L81" i="10"/>
  <c r="L86" i="10"/>
  <c r="L100" i="10"/>
  <c r="L98" i="10"/>
  <c r="L99" i="10"/>
  <c r="L101" i="10"/>
  <c r="L104" i="10"/>
  <c r="L102" i="10"/>
  <c r="L103" i="10"/>
  <c r="L128" i="10"/>
  <c r="L139" i="10"/>
  <c r="L162" i="10"/>
  <c r="L163" i="10"/>
  <c r="L164" i="10"/>
  <c r="L158" i="10"/>
  <c r="L159" i="10"/>
  <c r="L160" i="10"/>
  <c r="L161" i="10"/>
  <c r="L165" i="10"/>
  <c r="L166" i="10"/>
  <c r="L6" i="10"/>
  <c r="L48" i="10"/>
  <c r="L59" i="10"/>
  <c r="L72" i="10"/>
  <c r="L71" i="10"/>
  <c r="L73" i="10"/>
  <c r="L92" i="10"/>
  <c r="L95" i="10"/>
  <c r="L93" i="10"/>
  <c r="L94" i="10"/>
  <c r="L96" i="10"/>
  <c r="L121" i="10"/>
  <c r="L140" i="10"/>
  <c r="L141" i="10"/>
  <c r="L142" i="10"/>
  <c r="L152" i="10"/>
  <c r="L49" i="10"/>
  <c r="L57" i="10"/>
  <c r="L58" i="10"/>
  <c r="L60" i="10"/>
  <c r="L61" i="10"/>
  <c r="L83" i="10"/>
  <c r="L124" i="10"/>
  <c r="L127" i="10"/>
  <c r="L125" i="10"/>
  <c r="L126" i="10"/>
  <c r="L153" i="10"/>
  <c r="L8" i="10"/>
  <c r="L42" i="10"/>
  <c r="L44" i="10"/>
  <c r="L47" i="10"/>
  <c r="L45" i="10"/>
  <c r="L46" i="10"/>
  <c r="L88" i="10"/>
  <c r="L89" i="10"/>
  <c r="L97" i="10"/>
  <c r="L107" i="10"/>
  <c r="L106" i="10"/>
  <c r="L118" i="10"/>
  <c r="L119" i="10"/>
  <c r="L120" i="10"/>
  <c r="L131" i="10"/>
  <c r="L27" i="10"/>
  <c r="L24" i="10"/>
  <c r="L25" i="10"/>
  <c r="L28" i="10"/>
  <c r="L26" i="10"/>
  <c r="L29" i="10"/>
  <c r="L62" i="10"/>
  <c r="L156" i="10"/>
  <c r="L155" i="10"/>
  <c r="L9" i="10"/>
  <c r="L14" i="10"/>
  <c r="L10" i="10"/>
  <c r="L11" i="10"/>
  <c r="L15" i="10"/>
  <c r="L12" i="10"/>
  <c r="L13" i="10"/>
  <c r="L19" i="10"/>
  <c r="L18" i="10"/>
  <c r="L85" i="10"/>
  <c r="L109" i="10"/>
  <c r="L111" i="10"/>
  <c r="L151" i="10"/>
  <c r="L147" i="10"/>
  <c r="L148" i="10"/>
  <c r="L149" i="10"/>
  <c r="L150" i="10"/>
  <c r="L154" i="10"/>
  <c r="K17" i="10"/>
  <c r="K16" i="10"/>
  <c r="K21" i="10"/>
  <c r="K22" i="10"/>
  <c r="K23" i="10"/>
  <c r="K53" i="10"/>
  <c r="K54" i="10"/>
  <c r="K55" i="10"/>
  <c r="K56" i="10"/>
  <c r="K50" i="10"/>
  <c r="K51" i="10"/>
  <c r="K52" i="10"/>
  <c r="K66" i="10"/>
  <c r="K70" i="10"/>
  <c r="K67" i="10"/>
  <c r="K68" i="10"/>
  <c r="K64" i="10"/>
  <c r="K69" i="10"/>
  <c r="K63" i="10"/>
  <c r="K65" i="10"/>
  <c r="K75" i="10"/>
  <c r="K74" i="10"/>
  <c r="K76" i="10"/>
  <c r="K84" i="10"/>
  <c r="K114" i="10"/>
  <c r="K112" i="10"/>
  <c r="K143" i="10"/>
  <c r="K144" i="10"/>
  <c r="K145" i="10"/>
  <c r="K146" i="10"/>
  <c r="K20" i="10"/>
  <c r="K30" i="10"/>
  <c r="K37" i="10"/>
  <c r="K41" i="10"/>
  <c r="K31" i="10"/>
  <c r="K40" i="10"/>
  <c r="K32" i="10"/>
  <c r="K38" i="10"/>
  <c r="K33" i="10"/>
  <c r="K34" i="10"/>
  <c r="K35" i="10"/>
  <c r="K39" i="10"/>
  <c r="K36" i="10"/>
  <c r="K43" i="10"/>
  <c r="K90" i="10"/>
  <c r="K91" i="10"/>
  <c r="K108" i="10"/>
  <c r="K116" i="10"/>
  <c r="K115" i="10"/>
  <c r="K117" i="10"/>
  <c r="K122" i="10"/>
  <c r="K123" i="10"/>
  <c r="K129" i="10"/>
  <c r="K130" i="10"/>
  <c r="K132" i="10"/>
  <c r="K136" i="10"/>
  <c r="K133" i="10"/>
  <c r="K134" i="10"/>
  <c r="K135" i="10"/>
  <c r="K137" i="10"/>
  <c r="K138" i="10"/>
  <c r="K157" i="10"/>
  <c r="K77" i="10"/>
  <c r="K78" i="10"/>
  <c r="K79" i="10"/>
  <c r="K80" i="10"/>
  <c r="K82" i="10"/>
  <c r="K81" i="10"/>
  <c r="K86" i="10"/>
  <c r="K100" i="10"/>
  <c r="K98" i="10"/>
  <c r="K99" i="10"/>
  <c r="K101" i="10"/>
  <c r="K104" i="10"/>
  <c r="K102" i="10"/>
  <c r="K103" i="10"/>
  <c r="K105" i="10"/>
  <c r="K128" i="10"/>
  <c r="K139" i="10"/>
  <c r="K162" i="10"/>
  <c r="K163" i="10"/>
  <c r="K164" i="10"/>
  <c r="K158" i="10"/>
  <c r="K159" i="10"/>
  <c r="K160" i="10"/>
  <c r="K161" i="10"/>
  <c r="K165" i="10"/>
  <c r="K166" i="10"/>
  <c r="K6" i="10"/>
  <c r="K48" i="10"/>
  <c r="K59" i="10"/>
  <c r="K72" i="10"/>
  <c r="K71" i="10"/>
  <c r="K73" i="10"/>
  <c r="K92" i="10"/>
  <c r="K95" i="10"/>
  <c r="K93" i="10"/>
  <c r="K94" i="10"/>
  <c r="K96" i="10"/>
  <c r="K121" i="10"/>
  <c r="K140" i="10"/>
  <c r="K141" i="10"/>
  <c r="K142" i="10"/>
  <c r="K152" i="10"/>
  <c r="K49" i="10"/>
  <c r="K57" i="10"/>
  <c r="K58" i="10"/>
  <c r="K60" i="10"/>
  <c r="K61" i="10"/>
  <c r="K83" i="10"/>
  <c r="K124" i="10"/>
  <c r="K127" i="10"/>
  <c r="K125" i="10"/>
  <c r="K126" i="10"/>
  <c r="K153" i="10"/>
  <c r="K7" i="10"/>
  <c r="K8" i="10"/>
  <c r="K42" i="10"/>
  <c r="K44" i="10"/>
  <c r="K47" i="10"/>
  <c r="K45" i="10"/>
  <c r="K46" i="10"/>
  <c r="K88" i="10"/>
  <c r="K89" i="10"/>
  <c r="K97" i="10"/>
  <c r="K107" i="10"/>
  <c r="K106" i="10"/>
  <c r="K118" i="10"/>
  <c r="K119" i="10"/>
  <c r="K120" i="10"/>
  <c r="K131" i="10"/>
  <c r="K27" i="10"/>
  <c r="K24" i="10"/>
  <c r="K25" i="10"/>
  <c r="K28" i="10"/>
  <c r="K26" i="10"/>
  <c r="K29" i="10"/>
  <c r="K62" i="10"/>
  <c r="K156" i="10"/>
  <c r="K155" i="10"/>
  <c r="K9" i="10"/>
  <c r="K14" i="10"/>
  <c r="K10" i="10"/>
  <c r="K11" i="10"/>
  <c r="K15" i="10"/>
  <c r="K12" i="10"/>
  <c r="K13" i="10"/>
  <c r="K19" i="10"/>
  <c r="K18" i="10"/>
  <c r="K85" i="10"/>
  <c r="K109" i="10"/>
  <c r="K110" i="10"/>
  <c r="K111" i="10"/>
  <c r="K151" i="10"/>
  <c r="K147" i="10"/>
  <c r="K148" i="10"/>
  <c r="K149" i="10"/>
  <c r="K150" i="10"/>
  <c r="K154" i="10"/>
  <c r="J17" i="10"/>
  <c r="J16" i="10"/>
  <c r="J21" i="10"/>
  <c r="J22" i="10"/>
  <c r="J23" i="10"/>
  <c r="J53" i="10"/>
  <c r="J54" i="10"/>
  <c r="J55" i="10"/>
  <c r="J56" i="10"/>
  <c r="J50" i="10"/>
  <c r="J51" i="10"/>
  <c r="J52" i="10"/>
  <c r="J66" i="10"/>
  <c r="J70" i="10"/>
  <c r="J67" i="10"/>
  <c r="J68" i="10"/>
  <c r="J64" i="10"/>
  <c r="J69" i="10"/>
  <c r="J63" i="10"/>
  <c r="J65" i="10"/>
  <c r="J75" i="10"/>
  <c r="J74" i="10"/>
  <c r="J76" i="10"/>
  <c r="J84" i="10"/>
  <c r="J114" i="10"/>
  <c r="J112" i="10"/>
  <c r="J143" i="10"/>
  <c r="J144" i="10"/>
  <c r="J145" i="10"/>
  <c r="J146" i="10"/>
  <c r="J20" i="10"/>
  <c r="J30" i="10"/>
  <c r="J37" i="10"/>
  <c r="J41" i="10"/>
  <c r="J31" i="10"/>
  <c r="J40" i="10"/>
  <c r="J32" i="10"/>
  <c r="J38" i="10"/>
  <c r="J33" i="10"/>
  <c r="J34" i="10"/>
  <c r="J35" i="10"/>
  <c r="J39" i="10"/>
  <c r="J36" i="10"/>
  <c r="J43" i="10"/>
  <c r="J90" i="10"/>
  <c r="J91" i="10"/>
  <c r="J108" i="10"/>
  <c r="J116" i="10"/>
  <c r="J115" i="10"/>
  <c r="J117" i="10"/>
  <c r="J122" i="10"/>
  <c r="J123" i="10"/>
  <c r="J129" i="10"/>
  <c r="J130" i="10"/>
  <c r="J132" i="10"/>
  <c r="J136" i="10"/>
  <c r="J133" i="10"/>
  <c r="J134" i="10"/>
  <c r="J135" i="10"/>
  <c r="J137" i="10"/>
  <c r="J138" i="10"/>
  <c r="J157" i="10"/>
  <c r="J77" i="10"/>
  <c r="J78" i="10"/>
  <c r="J79" i="10"/>
  <c r="J80" i="10"/>
  <c r="J82" i="10"/>
  <c r="J81" i="10"/>
  <c r="J86" i="10"/>
  <c r="J100" i="10"/>
  <c r="J98" i="10"/>
  <c r="J99" i="10"/>
  <c r="J101" i="10"/>
  <c r="J104" i="10"/>
  <c r="J102" i="10"/>
  <c r="J103" i="10"/>
  <c r="J105" i="10"/>
  <c r="J128" i="10"/>
  <c r="J139" i="10"/>
  <c r="J162" i="10"/>
  <c r="J163" i="10"/>
  <c r="J164" i="10"/>
  <c r="J158" i="10"/>
  <c r="J159" i="10"/>
  <c r="J160" i="10"/>
  <c r="J161" i="10"/>
  <c r="J165" i="10"/>
  <c r="J166" i="10"/>
  <c r="J6" i="10"/>
  <c r="J48" i="10"/>
  <c r="J59" i="10"/>
  <c r="J72" i="10"/>
  <c r="J71" i="10"/>
  <c r="J73" i="10"/>
  <c r="J92" i="10"/>
  <c r="J95" i="10"/>
  <c r="J93" i="10"/>
  <c r="J94" i="10"/>
  <c r="J96" i="10"/>
  <c r="J121" i="10"/>
  <c r="J140" i="10"/>
  <c r="J141" i="10"/>
  <c r="J142" i="10"/>
  <c r="J152" i="10"/>
  <c r="J49" i="10"/>
  <c r="J57" i="10"/>
  <c r="J58" i="10"/>
  <c r="J60" i="10"/>
  <c r="J61" i="10"/>
  <c r="J83" i="10"/>
  <c r="J87" i="10"/>
  <c r="J124" i="10"/>
  <c r="J127" i="10"/>
  <c r="J125" i="10"/>
  <c r="J126" i="10"/>
  <c r="J153" i="10"/>
  <c r="J7" i="10"/>
  <c r="J8" i="10"/>
  <c r="J42" i="10"/>
  <c r="J44" i="10"/>
  <c r="J47" i="10"/>
  <c r="J45" i="10"/>
  <c r="J46" i="10"/>
  <c r="J88" i="10"/>
  <c r="J89" i="10"/>
  <c r="J97" i="10"/>
  <c r="J107" i="10"/>
  <c r="J106" i="10"/>
  <c r="J118" i="10"/>
  <c r="J119" i="10"/>
  <c r="J120" i="10"/>
  <c r="J131" i="10"/>
  <c r="J27" i="10"/>
  <c r="J24" i="10"/>
  <c r="J25" i="10"/>
  <c r="J28" i="10"/>
  <c r="J26" i="10"/>
  <c r="J29" i="10"/>
  <c r="J62" i="10"/>
  <c r="J156" i="10"/>
  <c r="J155" i="10"/>
  <c r="J9" i="10"/>
  <c r="J14" i="10"/>
  <c r="J10" i="10"/>
  <c r="J11" i="10"/>
  <c r="J15" i="10"/>
  <c r="J12" i="10"/>
  <c r="J13" i="10"/>
  <c r="J19" i="10"/>
  <c r="J18" i="10"/>
  <c r="J85" i="10"/>
  <c r="J109" i="10"/>
  <c r="J110" i="10"/>
  <c r="J111" i="10"/>
  <c r="J151" i="10"/>
  <c r="J147" i="10"/>
  <c r="J148" i="10"/>
  <c r="J149" i="10"/>
  <c r="J150" i="10"/>
  <c r="J154" i="10"/>
  <c r="I17" i="10"/>
  <c r="I16" i="10"/>
  <c r="I21" i="10"/>
  <c r="I22" i="10"/>
  <c r="I23" i="10"/>
  <c r="I53" i="10"/>
  <c r="I54" i="10"/>
  <c r="I55" i="10"/>
  <c r="I56" i="10"/>
  <c r="I50" i="10"/>
  <c r="I51" i="10"/>
  <c r="I52" i="10"/>
  <c r="I66" i="10"/>
  <c r="I70" i="10"/>
  <c r="I67" i="10"/>
  <c r="I68" i="10"/>
  <c r="I64" i="10"/>
  <c r="I69" i="10"/>
  <c r="I63" i="10"/>
  <c r="I65" i="10"/>
  <c r="I75" i="10"/>
  <c r="I74" i="10"/>
  <c r="I76" i="10"/>
  <c r="I84" i="10"/>
  <c r="I114" i="10"/>
  <c r="I112" i="10"/>
  <c r="I113" i="10"/>
  <c r="I143" i="10"/>
  <c r="I144" i="10"/>
  <c r="I145" i="10"/>
  <c r="I146" i="10"/>
  <c r="I20" i="10"/>
  <c r="I30" i="10"/>
  <c r="I37" i="10"/>
  <c r="I41" i="10"/>
  <c r="I31" i="10"/>
  <c r="I40" i="10"/>
  <c r="I32" i="10"/>
  <c r="I38" i="10"/>
  <c r="I33" i="10"/>
  <c r="I34" i="10"/>
  <c r="I35" i="10"/>
  <c r="I39" i="10"/>
  <c r="I36" i="10"/>
  <c r="I43" i="10"/>
  <c r="I90" i="10"/>
  <c r="I91" i="10"/>
  <c r="I108" i="10"/>
  <c r="I116" i="10"/>
  <c r="I115" i="10"/>
  <c r="I117" i="10"/>
  <c r="I122" i="10"/>
  <c r="I123" i="10"/>
  <c r="I129" i="10"/>
  <c r="I130" i="10"/>
  <c r="I132" i="10"/>
  <c r="I136" i="10"/>
  <c r="I133" i="10"/>
  <c r="I134" i="10"/>
  <c r="I135" i="10"/>
  <c r="I137" i="10"/>
  <c r="I138" i="10"/>
  <c r="I157" i="10"/>
  <c r="I77" i="10"/>
  <c r="I78" i="10"/>
  <c r="I79" i="10"/>
  <c r="I80" i="10"/>
  <c r="I82" i="10"/>
  <c r="I81" i="10"/>
  <c r="I86" i="10"/>
  <c r="I100" i="10"/>
  <c r="I98" i="10"/>
  <c r="I99" i="10"/>
  <c r="I101" i="10"/>
  <c r="I104" i="10"/>
  <c r="I102" i="10"/>
  <c r="I103" i="10"/>
  <c r="I105" i="10"/>
  <c r="I128" i="10"/>
  <c r="I139" i="10"/>
  <c r="I162" i="10"/>
  <c r="I163" i="10"/>
  <c r="I164" i="10"/>
  <c r="I158" i="10"/>
  <c r="I159" i="10"/>
  <c r="I160" i="10"/>
  <c r="I161" i="10"/>
  <c r="I165" i="10"/>
  <c r="I166" i="10"/>
  <c r="I6" i="10"/>
  <c r="I48" i="10"/>
  <c r="I59" i="10"/>
  <c r="I72" i="10"/>
  <c r="I71" i="10"/>
  <c r="I73" i="10"/>
  <c r="I92" i="10"/>
  <c r="I95" i="10"/>
  <c r="I93" i="10"/>
  <c r="I94" i="10"/>
  <c r="I96" i="10"/>
  <c r="I121" i="10"/>
  <c r="I140" i="10"/>
  <c r="I141" i="10"/>
  <c r="I142" i="10"/>
  <c r="I152" i="10"/>
  <c r="I49" i="10"/>
  <c r="I57" i="10"/>
  <c r="I58" i="10"/>
  <c r="I60" i="10"/>
  <c r="I61" i="10"/>
  <c r="I83" i="10"/>
  <c r="I87" i="10"/>
  <c r="I124" i="10"/>
  <c r="I127" i="10"/>
  <c r="I125" i="10"/>
  <c r="I126" i="10"/>
  <c r="I153" i="10"/>
  <c r="I7" i="10"/>
  <c r="I8" i="10"/>
  <c r="I42" i="10"/>
  <c r="I44" i="10"/>
  <c r="I47" i="10"/>
  <c r="I45" i="10"/>
  <c r="I46" i="10"/>
  <c r="I88" i="10"/>
  <c r="I89" i="10"/>
  <c r="I97" i="10"/>
  <c r="I107" i="10"/>
  <c r="I106" i="10"/>
  <c r="I118" i="10"/>
  <c r="I119" i="10"/>
  <c r="I120" i="10"/>
  <c r="I131" i="10"/>
  <c r="I27" i="10"/>
  <c r="I24" i="10"/>
  <c r="I25" i="10"/>
  <c r="I28" i="10"/>
  <c r="I26" i="10"/>
  <c r="I29" i="10"/>
  <c r="I62" i="10"/>
  <c r="I156" i="10"/>
  <c r="I155" i="10"/>
  <c r="I9" i="10"/>
  <c r="I14" i="10"/>
  <c r="I10" i="10"/>
  <c r="I11" i="10"/>
  <c r="I15" i="10"/>
  <c r="I12" i="10"/>
  <c r="I13" i="10"/>
  <c r="I19" i="10"/>
  <c r="I18" i="10"/>
  <c r="I85" i="10"/>
  <c r="I109" i="10"/>
  <c r="I110" i="10"/>
  <c r="I111" i="10"/>
  <c r="I151" i="10"/>
  <c r="I147" i="10"/>
  <c r="I148" i="10"/>
  <c r="I149" i="10"/>
  <c r="I150" i="10"/>
  <c r="I154" i="10"/>
  <c r="H17" i="10"/>
  <c r="H16" i="10"/>
  <c r="H21" i="10"/>
  <c r="H22" i="10"/>
  <c r="H23" i="10"/>
  <c r="H53" i="10"/>
  <c r="H54" i="10"/>
  <c r="H55" i="10"/>
  <c r="H56" i="10"/>
  <c r="H50" i="10"/>
  <c r="H51" i="10"/>
  <c r="H52" i="10"/>
  <c r="H66" i="10"/>
  <c r="H70" i="10"/>
  <c r="H67" i="10"/>
  <c r="H68" i="10"/>
  <c r="H64" i="10"/>
  <c r="H69" i="10"/>
  <c r="H63" i="10"/>
  <c r="H65" i="10"/>
  <c r="H75" i="10"/>
  <c r="H74" i="10"/>
  <c r="H76" i="10"/>
  <c r="H84" i="10"/>
  <c r="H114" i="10"/>
  <c r="H112" i="10"/>
  <c r="H113" i="10"/>
  <c r="H143" i="10"/>
  <c r="H144" i="10"/>
  <c r="H145" i="10"/>
  <c r="H146" i="10"/>
  <c r="H20" i="10"/>
  <c r="H30" i="10"/>
  <c r="H37" i="10"/>
  <c r="H41" i="10"/>
  <c r="H31" i="10"/>
  <c r="H40" i="10"/>
  <c r="H32" i="10"/>
  <c r="H38" i="10"/>
  <c r="H33" i="10"/>
  <c r="H34" i="10"/>
  <c r="H35" i="10"/>
  <c r="H39" i="10"/>
  <c r="H36" i="10"/>
  <c r="H43" i="10"/>
  <c r="H90" i="10"/>
  <c r="H91" i="10"/>
  <c r="H108" i="10"/>
  <c r="H116" i="10"/>
  <c r="H115" i="10"/>
  <c r="H117" i="10"/>
  <c r="H122" i="10"/>
  <c r="H123" i="10"/>
  <c r="H129" i="10"/>
  <c r="H130" i="10"/>
  <c r="H132" i="10"/>
  <c r="H136" i="10"/>
  <c r="H133" i="10"/>
  <c r="H134" i="10"/>
  <c r="H135" i="10"/>
  <c r="H137" i="10"/>
  <c r="H138" i="10"/>
  <c r="H157" i="10"/>
  <c r="H77" i="10"/>
  <c r="H78" i="10"/>
  <c r="H79" i="10"/>
  <c r="H80" i="10"/>
  <c r="H82" i="10"/>
  <c r="H81" i="10"/>
  <c r="H86" i="10"/>
  <c r="H100" i="10"/>
  <c r="H98" i="10"/>
  <c r="H99" i="10"/>
  <c r="H101" i="10"/>
  <c r="H104" i="10"/>
  <c r="H102" i="10"/>
  <c r="H103" i="10"/>
  <c r="H105" i="10"/>
  <c r="H128" i="10"/>
  <c r="H139" i="10"/>
  <c r="H162" i="10"/>
  <c r="H163" i="10"/>
  <c r="H164" i="10"/>
  <c r="H158" i="10"/>
  <c r="H159" i="10"/>
  <c r="H160" i="10"/>
  <c r="H161" i="10"/>
  <c r="H165" i="10"/>
  <c r="H166" i="10"/>
  <c r="H6" i="10"/>
  <c r="H48" i="10"/>
  <c r="H59" i="10"/>
  <c r="H72" i="10"/>
  <c r="H71" i="10"/>
  <c r="H73" i="10"/>
  <c r="H92" i="10"/>
  <c r="H95" i="10"/>
  <c r="H93" i="10"/>
  <c r="H94" i="10"/>
  <c r="H96" i="10"/>
  <c r="H121" i="10"/>
  <c r="H140" i="10"/>
  <c r="H141" i="10"/>
  <c r="H142" i="10"/>
  <c r="H152" i="10"/>
  <c r="H49" i="10"/>
  <c r="H57" i="10"/>
  <c r="H58" i="10"/>
  <c r="H60" i="10"/>
  <c r="H61" i="10"/>
  <c r="H83" i="10"/>
  <c r="H87" i="10"/>
  <c r="H124" i="10"/>
  <c r="H127" i="10"/>
  <c r="H125" i="10"/>
  <c r="H126" i="10"/>
  <c r="H153" i="10"/>
  <c r="H7" i="10"/>
  <c r="H8" i="10"/>
  <c r="H42" i="10"/>
  <c r="H44" i="10"/>
  <c r="H47" i="10"/>
  <c r="H45" i="10"/>
  <c r="H46" i="10"/>
  <c r="H88" i="10"/>
  <c r="H89" i="10"/>
  <c r="H97" i="10"/>
  <c r="H107" i="10"/>
  <c r="H106" i="10"/>
  <c r="H118" i="10"/>
  <c r="H119" i="10"/>
  <c r="H120" i="10"/>
  <c r="H131" i="10"/>
  <c r="H27" i="10"/>
  <c r="H24" i="10"/>
  <c r="H25" i="10"/>
  <c r="H28" i="10"/>
  <c r="H26" i="10"/>
  <c r="H29" i="10"/>
  <c r="H62" i="10"/>
  <c r="H156" i="10"/>
  <c r="H155" i="10"/>
  <c r="H9" i="10"/>
  <c r="H14" i="10"/>
  <c r="H10" i="10"/>
  <c r="H11" i="10"/>
  <c r="H15" i="10"/>
  <c r="H12" i="10"/>
  <c r="H13" i="10"/>
  <c r="H19" i="10"/>
  <c r="H18" i="10"/>
  <c r="H85" i="10"/>
  <c r="H109" i="10"/>
  <c r="H110" i="10"/>
  <c r="H111" i="10"/>
  <c r="H151" i="10"/>
  <c r="H147" i="10"/>
  <c r="H148" i="10"/>
  <c r="H149" i="10"/>
  <c r="H150" i="10"/>
  <c r="H154" i="10"/>
  <c r="G17" i="10"/>
  <c r="G16" i="10"/>
  <c r="G21" i="10"/>
  <c r="G22" i="10"/>
  <c r="G23" i="10"/>
  <c r="G53" i="10"/>
  <c r="G54" i="10"/>
  <c r="G55" i="10"/>
  <c r="G56" i="10"/>
  <c r="G50" i="10"/>
  <c r="G51" i="10"/>
  <c r="G52" i="10"/>
  <c r="G66" i="10"/>
  <c r="G70" i="10"/>
  <c r="G67" i="10"/>
  <c r="G68" i="10"/>
  <c r="G64" i="10"/>
  <c r="G69" i="10"/>
  <c r="G63" i="10"/>
  <c r="G65" i="10"/>
  <c r="G75" i="10"/>
  <c r="G74" i="10"/>
  <c r="G76" i="10"/>
  <c r="G84" i="10"/>
  <c r="G114" i="10"/>
  <c r="G112" i="10"/>
  <c r="G113" i="10"/>
  <c r="G143" i="10"/>
  <c r="G144" i="10"/>
  <c r="G145" i="10"/>
  <c r="G146" i="10"/>
  <c r="G20" i="10"/>
  <c r="G30" i="10"/>
  <c r="G37" i="10"/>
  <c r="G41" i="10"/>
  <c r="G31" i="10"/>
  <c r="G40" i="10"/>
  <c r="G32" i="10"/>
  <c r="G38" i="10"/>
  <c r="G33" i="10"/>
  <c r="G34" i="10"/>
  <c r="G35" i="10"/>
  <c r="G39" i="10"/>
  <c r="G36" i="10"/>
  <c r="G43" i="10"/>
  <c r="G90" i="10"/>
  <c r="G91" i="10"/>
  <c r="G108" i="10"/>
  <c r="G116" i="10"/>
  <c r="G115" i="10"/>
  <c r="G117" i="10"/>
  <c r="G122" i="10"/>
  <c r="G123" i="10"/>
  <c r="G129" i="10"/>
  <c r="G130" i="10"/>
  <c r="G132" i="10"/>
  <c r="G136" i="10"/>
  <c r="G133" i="10"/>
  <c r="G134" i="10"/>
  <c r="G135" i="10"/>
  <c r="G137" i="10"/>
  <c r="G138" i="10"/>
  <c r="G157" i="10"/>
  <c r="G77" i="10"/>
  <c r="G78" i="10"/>
  <c r="G79" i="10"/>
  <c r="G80" i="10"/>
  <c r="G82" i="10"/>
  <c r="G81" i="10"/>
  <c r="G86" i="10"/>
  <c r="G100" i="10"/>
  <c r="G98" i="10"/>
  <c r="G99" i="10"/>
  <c r="G101" i="10"/>
  <c r="G104" i="10"/>
  <c r="G102" i="10"/>
  <c r="G103" i="10"/>
  <c r="G105" i="10"/>
  <c r="G128" i="10"/>
  <c r="G139" i="10"/>
  <c r="G162" i="10"/>
  <c r="G163" i="10"/>
  <c r="G164" i="10"/>
  <c r="G158" i="10"/>
  <c r="G159" i="10"/>
  <c r="G160" i="10"/>
  <c r="G161" i="10"/>
  <c r="G165" i="10"/>
  <c r="G166" i="10"/>
  <c r="G6" i="10"/>
  <c r="G48" i="10"/>
  <c r="G59" i="10"/>
  <c r="G72" i="10"/>
  <c r="G71" i="10"/>
  <c r="G73" i="10"/>
  <c r="G92" i="10"/>
  <c r="G95" i="10"/>
  <c r="G93" i="10"/>
  <c r="G94" i="10"/>
  <c r="G96" i="10"/>
  <c r="G121" i="10"/>
  <c r="G140" i="10"/>
  <c r="G141" i="10"/>
  <c r="G142" i="10"/>
  <c r="G152" i="10"/>
  <c r="G49" i="10"/>
  <c r="G57" i="10"/>
  <c r="G58" i="10"/>
  <c r="G60" i="10"/>
  <c r="G61" i="10"/>
  <c r="G83" i="10"/>
  <c r="G87" i="10"/>
  <c r="G124" i="10"/>
  <c r="G127" i="10"/>
  <c r="G125" i="10"/>
  <c r="G126" i="10"/>
  <c r="G153" i="10"/>
  <c r="G7" i="10"/>
  <c r="G8" i="10"/>
  <c r="G42" i="10"/>
  <c r="G44" i="10"/>
  <c r="G47" i="10"/>
  <c r="G45" i="10"/>
  <c r="G46" i="10"/>
  <c r="G88" i="10"/>
  <c r="G89" i="10"/>
  <c r="G97" i="10"/>
  <c r="G107" i="10"/>
  <c r="G106" i="10"/>
  <c r="G118" i="10"/>
  <c r="G119" i="10"/>
  <c r="G120" i="10"/>
  <c r="G131" i="10"/>
  <c r="G27" i="10"/>
  <c r="G24" i="10"/>
  <c r="G25" i="10"/>
  <c r="G28" i="10"/>
  <c r="G26" i="10"/>
  <c r="G29" i="10"/>
  <c r="G62" i="10"/>
  <c r="G156" i="10"/>
  <c r="G155" i="10"/>
  <c r="G9" i="10"/>
  <c r="G14" i="10"/>
  <c r="G10" i="10"/>
  <c r="G11" i="10"/>
  <c r="G15" i="10"/>
  <c r="G12" i="10"/>
  <c r="G13" i="10"/>
  <c r="G19" i="10"/>
  <c r="G18" i="10"/>
  <c r="G85" i="10"/>
  <c r="G109" i="10"/>
  <c r="G110" i="10"/>
  <c r="G111" i="10"/>
  <c r="G151" i="10"/>
  <c r="G147" i="10"/>
  <c r="G148" i="10"/>
  <c r="G149" i="10"/>
  <c r="G150" i="10"/>
  <c r="G154" i="10"/>
  <c r="F17" i="10"/>
  <c r="F16" i="10"/>
  <c r="F21" i="10"/>
  <c r="F22" i="10"/>
  <c r="F23" i="10"/>
  <c r="F53" i="10"/>
  <c r="F54" i="10"/>
  <c r="F55" i="10"/>
  <c r="F56" i="10"/>
  <c r="F50" i="10"/>
  <c r="F51" i="10"/>
  <c r="F52" i="10"/>
  <c r="F66" i="10"/>
  <c r="F70" i="10"/>
  <c r="F67" i="10"/>
  <c r="F68" i="10"/>
  <c r="F64" i="10"/>
  <c r="F69" i="10"/>
  <c r="F63" i="10"/>
  <c r="F65" i="10"/>
  <c r="F75" i="10"/>
  <c r="F74" i="10"/>
  <c r="F76" i="10"/>
  <c r="F84" i="10"/>
  <c r="F114" i="10"/>
  <c r="F112" i="10"/>
  <c r="F113" i="10"/>
  <c r="F143" i="10"/>
  <c r="F144" i="10"/>
  <c r="F145" i="10"/>
  <c r="F146" i="10"/>
  <c r="F20" i="10"/>
  <c r="F30" i="10"/>
  <c r="F37" i="10"/>
  <c r="F41" i="10"/>
  <c r="F31" i="10"/>
  <c r="F40" i="10"/>
  <c r="F32" i="10"/>
  <c r="F38" i="10"/>
  <c r="F33" i="10"/>
  <c r="F34" i="10"/>
  <c r="F35" i="10"/>
  <c r="F39" i="10"/>
  <c r="F36" i="10"/>
  <c r="F43" i="10"/>
  <c r="F90" i="10"/>
  <c r="F91" i="10"/>
  <c r="F108" i="10"/>
  <c r="F116" i="10"/>
  <c r="F115" i="10"/>
  <c r="F117" i="10"/>
  <c r="F122" i="10"/>
  <c r="F123" i="10"/>
  <c r="F129" i="10"/>
  <c r="F130" i="10"/>
  <c r="F132" i="10"/>
  <c r="F136" i="10"/>
  <c r="F133" i="10"/>
  <c r="F134" i="10"/>
  <c r="F135" i="10"/>
  <c r="F137" i="10"/>
  <c r="F138" i="10"/>
  <c r="F157" i="10"/>
  <c r="F77" i="10"/>
  <c r="F78" i="10"/>
  <c r="F79" i="10"/>
  <c r="F80" i="10"/>
  <c r="F82" i="10"/>
  <c r="F81" i="10"/>
  <c r="F86" i="10"/>
  <c r="F100" i="10"/>
  <c r="F98" i="10"/>
  <c r="F99" i="10"/>
  <c r="F101" i="10"/>
  <c r="F104" i="10"/>
  <c r="F102" i="10"/>
  <c r="F103" i="10"/>
  <c r="F105" i="10"/>
  <c r="F128" i="10"/>
  <c r="F139" i="10"/>
  <c r="F162" i="10"/>
  <c r="F163" i="10"/>
  <c r="F164" i="10"/>
  <c r="F158" i="10"/>
  <c r="F159" i="10"/>
  <c r="F160" i="10"/>
  <c r="F161" i="10"/>
  <c r="F165" i="10"/>
  <c r="F166" i="10"/>
  <c r="F6" i="10"/>
  <c r="F48" i="10"/>
  <c r="F59" i="10"/>
  <c r="F72" i="10"/>
  <c r="F71" i="10"/>
  <c r="F73" i="10"/>
  <c r="F92" i="10"/>
  <c r="F95" i="10"/>
  <c r="F93" i="10"/>
  <c r="F94" i="10"/>
  <c r="F96" i="10"/>
  <c r="F121" i="10"/>
  <c r="F140" i="10"/>
  <c r="F141" i="10"/>
  <c r="F142" i="10"/>
  <c r="F152" i="10"/>
  <c r="F49" i="10"/>
  <c r="F57" i="10"/>
  <c r="F58" i="10"/>
  <c r="F60" i="10"/>
  <c r="F61" i="10"/>
  <c r="F83" i="10"/>
  <c r="F87" i="10"/>
  <c r="F124" i="10"/>
  <c r="F127" i="10"/>
  <c r="F125" i="10"/>
  <c r="F126" i="10"/>
  <c r="F153" i="10"/>
  <c r="F7" i="10"/>
  <c r="F8" i="10"/>
  <c r="F42" i="10"/>
  <c r="F44" i="10"/>
  <c r="F47" i="10"/>
  <c r="F45" i="10"/>
  <c r="F46" i="10"/>
  <c r="F88" i="10"/>
  <c r="F89" i="10"/>
  <c r="F97" i="10"/>
  <c r="F107" i="10"/>
  <c r="F106" i="10"/>
  <c r="F118" i="10"/>
  <c r="F119" i="10"/>
  <c r="F120" i="10"/>
  <c r="F131" i="10"/>
  <c r="F27" i="10"/>
  <c r="F24" i="10"/>
  <c r="F25" i="10"/>
  <c r="F28" i="10"/>
  <c r="F26" i="10"/>
  <c r="F29" i="10"/>
  <c r="F62" i="10"/>
  <c r="F156" i="10"/>
  <c r="F155" i="10"/>
  <c r="F9" i="10"/>
  <c r="F14" i="10"/>
  <c r="F10" i="10"/>
  <c r="F11" i="10"/>
  <c r="F15" i="10"/>
  <c r="F12" i="10"/>
  <c r="F13" i="10"/>
  <c r="F19" i="10"/>
  <c r="F18" i="10"/>
  <c r="F85" i="10"/>
  <c r="F109" i="10"/>
  <c r="F110" i="10"/>
  <c r="F111" i="10"/>
  <c r="F151" i="10"/>
  <c r="F147" i="10"/>
  <c r="F148" i="10"/>
  <c r="F149" i="10"/>
  <c r="F150" i="10"/>
  <c r="F154" i="10"/>
  <c r="E17" i="10"/>
  <c r="E16" i="10"/>
  <c r="E21" i="10"/>
  <c r="E22" i="10"/>
  <c r="E23" i="10"/>
  <c r="E53" i="10"/>
  <c r="E54" i="10"/>
  <c r="E55" i="10"/>
  <c r="E56" i="10"/>
  <c r="E50" i="10"/>
  <c r="E51" i="10"/>
  <c r="E52" i="10"/>
  <c r="E66" i="10"/>
  <c r="E70" i="10"/>
  <c r="E67" i="10"/>
  <c r="E68" i="10"/>
  <c r="E64" i="10"/>
  <c r="E69" i="10"/>
  <c r="E63" i="10"/>
  <c r="E65" i="10"/>
  <c r="E75" i="10"/>
  <c r="E74" i="10"/>
  <c r="E76" i="10"/>
  <c r="E84" i="10"/>
  <c r="E114" i="10"/>
  <c r="E112" i="10"/>
  <c r="E113" i="10"/>
  <c r="E143" i="10"/>
  <c r="E144" i="10"/>
  <c r="E145" i="10"/>
  <c r="E146" i="10"/>
  <c r="E20" i="10"/>
  <c r="E30" i="10"/>
  <c r="E37" i="10"/>
  <c r="E41" i="10"/>
  <c r="E31" i="10"/>
  <c r="E40" i="10"/>
  <c r="E32" i="10"/>
  <c r="E38" i="10"/>
  <c r="E33" i="10"/>
  <c r="E34" i="10"/>
  <c r="E35" i="10"/>
  <c r="E39" i="10"/>
  <c r="E36" i="10"/>
  <c r="E43" i="10"/>
  <c r="E90" i="10"/>
  <c r="E91" i="10"/>
  <c r="E108" i="10"/>
  <c r="E116" i="10"/>
  <c r="E115" i="10"/>
  <c r="E117" i="10"/>
  <c r="E122" i="10"/>
  <c r="E123" i="10"/>
  <c r="E129" i="10"/>
  <c r="E130" i="10"/>
  <c r="E132" i="10"/>
  <c r="E136" i="10"/>
  <c r="E133" i="10"/>
  <c r="E134" i="10"/>
  <c r="E135" i="10"/>
  <c r="E137" i="10"/>
  <c r="E138" i="10"/>
  <c r="E157" i="10"/>
  <c r="E77" i="10"/>
  <c r="E78" i="10"/>
  <c r="E79" i="10"/>
  <c r="E80" i="10"/>
  <c r="E82" i="10"/>
  <c r="E81" i="10"/>
  <c r="E86" i="10"/>
  <c r="E100" i="10"/>
  <c r="E98" i="10"/>
  <c r="E99" i="10"/>
  <c r="E101" i="10"/>
  <c r="E104" i="10"/>
  <c r="E102" i="10"/>
  <c r="E103" i="10"/>
  <c r="E105" i="10"/>
  <c r="E128" i="10"/>
  <c r="E139" i="10"/>
  <c r="E162" i="10"/>
  <c r="E163" i="10"/>
  <c r="E164" i="10"/>
  <c r="E158" i="10"/>
  <c r="E159" i="10"/>
  <c r="E160" i="10"/>
  <c r="E161" i="10"/>
  <c r="E165" i="10"/>
  <c r="E166" i="10"/>
  <c r="E6" i="10"/>
  <c r="E48" i="10"/>
  <c r="E59" i="10"/>
  <c r="E72" i="10"/>
  <c r="E71" i="10"/>
  <c r="E73" i="10"/>
  <c r="E92" i="10"/>
  <c r="E95" i="10"/>
  <c r="E93" i="10"/>
  <c r="E94" i="10"/>
  <c r="E96" i="10"/>
  <c r="E121" i="10"/>
  <c r="E140" i="10"/>
  <c r="E141" i="10"/>
  <c r="E142" i="10"/>
  <c r="E152" i="10"/>
  <c r="E49" i="10"/>
  <c r="E57" i="10"/>
  <c r="E58" i="10"/>
  <c r="E60" i="10"/>
  <c r="E61" i="10"/>
  <c r="E83" i="10"/>
  <c r="E87" i="10"/>
  <c r="E124" i="10"/>
  <c r="E127" i="10"/>
  <c r="E125" i="10"/>
  <c r="E126" i="10"/>
  <c r="E153" i="10"/>
  <c r="E7" i="10"/>
  <c r="E8" i="10"/>
  <c r="E42" i="10"/>
  <c r="E44" i="10"/>
  <c r="E47" i="10"/>
  <c r="E45" i="10"/>
  <c r="E46" i="10"/>
  <c r="E88" i="10"/>
  <c r="E89" i="10"/>
  <c r="E97" i="10"/>
  <c r="E107" i="10"/>
  <c r="E106" i="10"/>
  <c r="E118" i="10"/>
  <c r="E119" i="10"/>
  <c r="E120" i="10"/>
  <c r="E131" i="10"/>
  <c r="E27" i="10"/>
  <c r="E24" i="10"/>
  <c r="E25" i="10"/>
  <c r="E28" i="10"/>
  <c r="E26" i="10"/>
  <c r="E29" i="10"/>
  <c r="E62" i="10"/>
  <c r="E156" i="10"/>
  <c r="E155" i="10"/>
  <c r="E9" i="10"/>
  <c r="E14" i="10"/>
  <c r="E10" i="10"/>
  <c r="E11" i="10"/>
  <c r="E15" i="10"/>
  <c r="E12" i="10"/>
  <c r="E13" i="10"/>
  <c r="E19" i="10"/>
  <c r="E18" i="10"/>
  <c r="E85" i="10"/>
  <c r="E109" i="10"/>
  <c r="E110" i="10"/>
  <c r="E111" i="10"/>
  <c r="E151" i="10"/>
  <c r="E147" i="10"/>
  <c r="E148" i="10"/>
  <c r="E149" i="10"/>
  <c r="E150" i="10"/>
  <c r="E154" i="10"/>
  <c r="D17" i="10"/>
  <c r="D16" i="10"/>
  <c r="D21" i="10"/>
  <c r="D22" i="10"/>
  <c r="D23" i="10"/>
  <c r="D53" i="10"/>
  <c r="D54" i="10"/>
  <c r="D55" i="10"/>
  <c r="D56" i="10"/>
  <c r="D50" i="10"/>
  <c r="D51" i="10"/>
  <c r="D52" i="10"/>
  <c r="D66" i="10"/>
  <c r="D70" i="10"/>
  <c r="D67" i="10"/>
  <c r="D68" i="10"/>
  <c r="D64" i="10"/>
  <c r="D69" i="10"/>
  <c r="D63" i="10"/>
  <c r="D65" i="10"/>
  <c r="D75" i="10"/>
  <c r="D74" i="10"/>
  <c r="D76" i="10"/>
  <c r="D84" i="10"/>
  <c r="D114" i="10"/>
  <c r="D112" i="10"/>
  <c r="D113" i="10"/>
  <c r="D143" i="10"/>
  <c r="D144" i="10"/>
  <c r="D145" i="10"/>
  <c r="D146" i="10"/>
  <c r="D20" i="10"/>
  <c r="D30" i="10"/>
  <c r="D37" i="10"/>
  <c r="D41" i="10"/>
  <c r="D31" i="10"/>
  <c r="D40" i="10"/>
  <c r="D32" i="10"/>
  <c r="D38" i="10"/>
  <c r="D33" i="10"/>
  <c r="D34" i="10"/>
  <c r="D35" i="10"/>
  <c r="D39" i="10"/>
  <c r="D36" i="10"/>
  <c r="D43" i="10"/>
  <c r="D90" i="10"/>
  <c r="D91" i="10"/>
  <c r="D108" i="10"/>
  <c r="D116" i="10"/>
  <c r="D115" i="10"/>
  <c r="D117" i="10"/>
  <c r="D122" i="10"/>
  <c r="D123" i="10"/>
  <c r="D129" i="10"/>
  <c r="D130" i="10"/>
  <c r="D132" i="10"/>
  <c r="D136" i="10"/>
  <c r="D133" i="10"/>
  <c r="D134" i="10"/>
  <c r="D135" i="10"/>
  <c r="D137" i="10"/>
  <c r="D138" i="10"/>
  <c r="D157" i="10"/>
  <c r="D77" i="10"/>
  <c r="D78" i="10"/>
  <c r="D79" i="10"/>
  <c r="D80" i="10"/>
  <c r="D82" i="10"/>
  <c r="D81" i="10"/>
  <c r="D86" i="10"/>
  <c r="D100" i="10"/>
  <c r="D98" i="10"/>
  <c r="D99" i="10"/>
  <c r="D101" i="10"/>
  <c r="D104" i="10"/>
  <c r="D102" i="10"/>
  <c r="D103" i="10"/>
  <c r="D105" i="10"/>
  <c r="D128" i="10"/>
  <c r="D139" i="10"/>
  <c r="D162" i="10"/>
  <c r="D163" i="10"/>
  <c r="D164" i="10"/>
  <c r="D158" i="10"/>
  <c r="D159" i="10"/>
  <c r="D160" i="10"/>
  <c r="D161" i="10"/>
  <c r="D165" i="10"/>
  <c r="D166" i="10"/>
  <c r="D6" i="10"/>
  <c r="D48" i="10"/>
  <c r="D59" i="10"/>
  <c r="D72" i="10"/>
  <c r="D71" i="10"/>
  <c r="D73" i="10"/>
  <c r="D92" i="10"/>
  <c r="D95" i="10"/>
  <c r="D93" i="10"/>
  <c r="D94" i="10"/>
  <c r="D96" i="10"/>
  <c r="D121" i="10"/>
  <c r="D140" i="10"/>
  <c r="D141" i="10"/>
  <c r="D142" i="10"/>
  <c r="D152" i="10"/>
  <c r="D49" i="10"/>
  <c r="D57" i="10"/>
  <c r="D58" i="10"/>
  <c r="D60" i="10"/>
  <c r="D61" i="10"/>
  <c r="D83" i="10"/>
  <c r="D87" i="10"/>
  <c r="D124" i="10"/>
  <c r="D127" i="10"/>
  <c r="D125" i="10"/>
  <c r="D126" i="10"/>
  <c r="D153" i="10"/>
  <c r="D7" i="10"/>
  <c r="D8" i="10"/>
  <c r="D42" i="10"/>
  <c r="D44" i="10"/>
  <c r="D47" i="10"/>
  <c r="D45" i="10"/>
  <c r="D46" i="10"/>
  <c r="D88" i="10"/>
  <c r="D89" i="10"/>
  <c r="D97" i="10"/>
  <c r="D107" i="10"/>
  <c r="D106" i="10"/>
  <c r="D118" i="10"/>
  <c r="D119" i="10"/>
  <c r="D120" i="10"/>
  <c r="D131" i="10"/>
  <c r="D27" i="10"/>
  <c r="D24" i="10"/>
  <c r="D25" i="10"/>
  <c r="D28" i="10"/>
  <c r="D26" i="10"/>
  <c r="D29" i="10"/>
  <c r="D62" i="10"/>
  <c r="D156" i="10"/>
  <c r="D155" i="10"/>
  <c r="D9" i="10"/>
  <c r="D14" i="10"/>
  <c r="D10" i="10"/>
  <c r="D11" i="10"/>
  <c r="D15" i="10"/>
  <c r="D12" i="10"/>
  <c r="D13" i="10"/>
  <c r="D19" i="10"/>
  <c r="D18" i="10"/>
  <c r="D85" i="10"/>
  <c r="D109" i="10"/>
  <c r="D110" i="10"/>
  <c r="D111" i="10"/>
  <c r="D151" i="10"/>
  <c r="D147" i="10"/>
  <c r="D148" i="10"/>
  <c r="D149" i="10"/>
  <c r="D150" i="10"/>
  <c r="D154" i="10"/>
  <c r="C17" i="10"/>
  <c r="C16" i="10"/>
  <c r="C21" i="10"/>
  <c r="C22" i="10"/>
  <c r="C23" i="10"/>
  <c r="C53" i="10"/>
  <c r="C54" i="10"/>
  <c r="C55" i="10"/>
  <c r="C56" i="10"/>
  <c r="C50" i="10"/>
  <c r="C51" i="10"/>
  <c r="C52" i="10"/>
  <c r="C66" i="10"/>
  <c r="C70" i="10"/>
  <c r="C67" i="10"/>
  <c r="C68" i="10"/>
  <c r="C64" i="10"/>
  <c r="C69" i="10"/>
  <c r="C63" i="10"/>
  <c r="C65" i="10"/>
  <c r="C75" i="10"/>
  <c r="C74" i="10"/>
  <c r="C76" i="10"/>
  <c r="C84" i="10"/>
  <c r="C114" i="10"/>
  <c r="C112" i="10"/>
  <c r="C113" i="10"/>
  <c r="C143" i="10"/>
  <c r="C144" i="10"/>
  <c r="C145" i="10"/>
  <c r="C146" i="10"/>
  <c r="C20" i="10"/>
  <c r="C30" i="10"/>
  <c r="C37" i="10"/>
  <c r="C41" i="10"/>
  <c r="C31" i="10"/>
  <c r="C40" i="10"/>
  <c r="C32" i="10"/>
  <c r="C38" i="10"/>
  <c r="C33" i="10"/>
  <c r="C34" i="10"/>
  <c r="C35" i="10"/>
  <c r="C39" i="10"/>
  <c r="C36" i="10"/>
  <c r="C43" i="10"/>
  <c r="C90" i="10"/>
  <c r="C91" i="10"/>
  <c r="C108" i="10"/>
  <c r="C116" i="10"/>
  <c r="C115" i="10"/>
  <c r="C117" i="10"/>
  <c r="C122" i="10"/>
  <c r="C123" i="10"/>
  <c r="C129" i="10"/>
  <c r="C130" i="10"/>
  <c r="C132" i="10"/>
  <c r="C136" i="10"/>
  <c r="C133" i="10"/>
  <c r="C134" i="10"/>
  <c r="C135" i="10"/>
  <c r="C137" i="10"/>
  <c r="C138" i="10"/>
  <c r="C157" i="10"/>
  <c r="C77" i="10"/>
  <c r="C78" i="10"/>
  <c r="C79" i="10"/>
  <c r="C80" i="10"/>
  <c r="C82" i="10"/>
  <c r="C81" i="10"/>
  <c r="C86" i="10"/>
  <c r="C100" i="10"/>
  <c r="C98" i="10"/>
  <c r="C99" i="10"/>
  <c r="C101" i="10"/>
  <c r="C104" i="10"/>
  <c r="C102" i="10"/>
  <c r="C103" i="10"/>
  <c r="C105" i="10"/>
  <c r="C128" i="10"/>
  <c r="C139" i="10"/>
  <c r="C162" i="10"/>
  <c r="C163" i="10"/>
  <c r="C164" i="10"/>
  <c r="C158" i="10"/>
  <c r="C159" i="10"/>
  <c r="C160" i="10"/>
  <c r="C161" i="10"/>
  <c r="C165" i="10"/>
  <c r="C166" i="10"/>
  <c r="C6" i="10"/>
  <c r="C48" i="10"/>
  <c r="C59" i="10"/>
  <c r="C72" i="10"/>
  <c r="C71" i="10"/>
  <c r="C73" i="10"/>
  <c r="C92" i="10"/>
  <c r="C95" i="10"/>
  <c r="C93" i="10"/>
  <c r="C94" i="10"/>
  <c r="C96" i="10"/>
  <c r="C121" i="10"/>
  <c r="C140" i="10"/>
  <c r="C141" i="10"/>
  <c r="C142" i="10"/>
  <c r="C152" i="10"/>
  <c r="C49" i="10"/>
  <c r="C57" i="10"/>
  <c r="C58" i="10"/>
  <c r="C60" i="10"/>
  <c r="C61" i="10"/>
  <c r="C83" i="10"/>
  <c r="C87" i="10"/>
  <c r="C124" i="10"/>
  <c r="C127" i="10"/>
  <c r="C125" i="10"/>
  <c r="C126" i="10"/>
  <c r="C153" i="10"/>
  <c r="C7" i="10"/>
  <c r="C8" i="10"/>
  <c r="C42" i="10"/>
  <c r="C44" i="10"/>
  <c r="C47" i="10"/>
  <c r="C45" i="10"/>
  <c r="C46" i="10"/>
  <c r="C88" i="10"/>
  <c r="C89" i="10"/>
  <c r="C97" i="10"/>
  <c r="C107" i="10"/>
  <c r="C106" i="10"/>
  <c r="C118" i="10"/>
  <c r="C119" i="10"/>
  <c r="C120" i="10"/>
  <c r="C131" i="10"/>
  <c r="C27" i="10"/>
  <c r="C24" i="10"/>
  <c r="C25" i="10"/>
  <c r="C28" i="10"/>
  <c r="C26" i="10"/>
  <c r="C29" i="10"/>
  <c r="C62" i="10"/>
  <c r="C156" i="10"/>
  <c r="C155" i="10"/>
  <c r="C9" i="10"/>
  <c r="C14" i="10"/>
  <c r="C10" i="10"/>
  <c r="C11" i="10"/>
  <c r="C15" i="10"/>
  <c r="C12" i="10"/>
  <c r="C13" i="10"/>
  <c r="C19" i="10"/>
  <c r="C18" i="10"/>
  <c r="C85" i="10"/>
  <c r="C109" i="10"/>
  <c r="C110" i="10"/>
  <c r="C111" i="10"/>
  <c r="C151" i="10"/>
  <c r="C147" i="10"/>
  <c r="C148" i="10"/>
  <c r="C149" i="10"/>
  <c r="C150" i="10"/>
  <c r="C154" i="10"/>
  <c r="C7" i="22"/>
  <c r="C24" i="20" l="1"/>
  <c r="D24" i="20"/>
  <c r="E24" i="20"/>
  <c r="F24" i="20"/>
  <c r="G24" i="20"/>
  <c r="H24" i="20"/>
  <c r="I24" i="20"/>
  <c r="J24" i="20"/>
  <c r="K24" i="20"/>
  <c r="M24" i="20"/>
  <c r="N24" i="20"/>
  <c r="C17" i="19"/>
  <c r="C31" i="20"/>
  <c r="C36" i="26"/>
  <c r="D36" i="26"/>
  <c r="E36" i="26"/>
  <c r="F36" i="26"/>
  <c r="G36" i="26"/>
  <c r="H36" i="26"/>
  <c r="I36" i="26"/>
  <c r="J36" i="26"/>
  <c r="K36" i="26"/>
  <c r="N36" i="26"/>
  <c r="C37" i="26"/>
  <c r="D37" i="26"/>
  <c r="E37" i="26"/>
  <c r="F37" i="26"/>
  <c r="G37" i="26"/>
  <c r="H37" i="26"/>
  <c r="I37" i="26"/>
  <c r="J37" i="26"/>
  <c r="K37" i="26"/>
  <c r="N37" i="26"/>
  <c r="C8" i="22"/>
  <c r="D8" i="22"/>
  <c r="E8" i="22"/>
  <c r="F8" i="22"/>
  <c r="G8" i="22"/>
  <c r="H8" i="22"/>
  <c r="I8" i="22"/>
  <c r="J8" i="22"/>
  <c r="K8" i="22"/>
  <c r="L8" i="22"/>
  <c r="M8" i="22"/>
  <c r="N8" i="22"/>
  <c r="C13" i="26"/>
  <c r="D13" i="26"/>
  <c r="E13" i="26"/>
  <c r="F13" i="26"/>
  <c r="G13" i="26"/>
  <c r="H13" i="26"/>
  <c r="I13" i="26"/>
  <c r="J13" i="26"/>
  <c r="K13" i="26"/>
  <c r="L13" i="26"/>
  <c r="M13" i="26"/>
  <c r="N13" i="26"/>
  <c r="C7" i="24"/>
  <c r="D7" i="24"/>
  <c r="E7" i="24"/>
  <c r="F7" i="24"/>
  <c r="G7" i="24"/>
  <c r="H7" i="24"/>
  <c r="I7" i="24"/>
  <c r="J7" i="24"/>
  <c r="K7" i="24"/>
  <c r="L7" i="24"/>
  <c r="M7" i="24"/>
  <c r="N7" i="24"/>
  <c r="C27" i="25"/>
  <c r="D27" i="25"/>
  <c r="E27" i="25"/>
  <c r="F27" i="25"/>
  <c r="G27" i="25"/>
  <c r="H27" i="25"/>
  <c r="I27" i="25"/>
  <c r="J27" i="25"/>
  <c r="K27" i="25"/>
  <c r="L27" i="25"/>
  <c r="M27" i="25"/>
  <c r="N27" i="25"/>
  <c r="C8" i="20"/>
  <c r="D8" i="20"/>
  <c r="E8" i="20"/>
  <c r="F8" i="20"/>
  <c r="G8" i="20"/>
  <c r="H8" i="20"/>
  <c r="I8" i="20"/>
  <c r="J8" i="20"/>
  <c r="K8" i="20"/>
  <c r="L8" i="20"/>
  <c r="M8" i="20"/>
  <c r="N8" i="20"/>
  <c r="M11" i="28"/>
  <c r="M7" i="28"/>
  <c r="M19" i="28"/>
  <c r="M23" i="28"/>
  <c r="M17" i="28"/>
  <c r="M8" i="28"/>
  <c r="M6" i="28"/>
  <c r="M10" i="28"/>
  <c r="M18" i="28"/>
  <c r="M9" i="28"/>
  <c r="M14" i="28"/>
  <c r="M21" i="28"/>
  <c r="M15" i="28"/>
  <c r="M20" i="28"/>
  <c r="M22" i="28"/>
  <c r="M16" i="28"/>
  <c r="L11" i="28"/>
  <c r="L7" i="28"/>
  <c r="L19" i="28"/>
  <c r="L23" i="28"/>
  <c r="L17" i="28"/>
  <c r="L8" i="28"/>
  <c r="L6" i="28"/>
  <c r="L10" i="28"/>
  <c r="L18" i="28"/>
  <c r="L9" i="28"/>
  <c r="L14" i="28"/>
  <c r="L21" i="28"/>
  <c r="L15" i="28"/>
  <c r="L20" i="28"/>
  <c r="L22" i="28"/>
  <c r="L16" i="28"/>
  <c r="K11" i="28"/>
  <c r="K7" i="28"/>
  <c r="K19" i="28"/>
  <c r="K23" i="28"/>
  <c r="K17" i="28"/>
  <c r="K8" i="28"/>
  <c r="K6" i="28"/>
  <c r="K10" i="28"/>
  <c r="K18" i="28"/>
  <c r="K9" i="28"/>
  <c r="K14" i="28"/>
  <c r="K21" i="28"/>
  <c r="K15" i="28"/>
  <c r="K20" i="28"/>
  <c r="K22" i="28"/>
  <c r="K16" i="28"/>
  <c r="J11" i="28"/>
  <c r="J7" i="28"/>
  <c r="J19" i="28"/>
  <c r="J23" i="28"/>
  <c r="J17" i="28"/>
  <c r="J8" i="28"/>
  <c r="J6" i="28"/>
  <c r="J10" i="28"/>
  <c r="J18" i="28"/>
  <c r="J9" i="28"/>
  <c r="J14" i="28"/>
  <c r="J21" i="28"/>
  <c r="J15" i="28"/>
  <c r="J20" i="28"/>
  <c r="J22" i="28"/>
  <c r="J16" i="28"/>
  <c r="I11" i="28"/>
  <c r="I7" i="28"/>
  <c r="I19" i="28"/>
  <c r="I23" i="28"/>
  <c r="I17" i="28"/>
  <c r="I8" i="28"/>
  <c r="I6" i="28"/>
  <c r="I10" i="28"/>
  <c r="I18" i="28"/>
  <c r="I9" i="28"/>
  <c r="I14" i="28"/>
  <c r="I21" i="28"/>
  <c r="I15" i="28"/>
  <c r="I20" i="28"/>
  <c r="I22" i="28"/>
  <c r="I16" i="28"/>
  <c r="H11" i="28"/>
  <c r="H7" i="28"/>
  <c r="H19" i="28"/>
  <c r="H23" i="28"/>
  <c r="H17" i="28"/>
  <c r="H8" i="28"/>
  <c r="H6" i="28"/>
  <c r="H10" i="28"/>
  <c r="H18" i="28"/>
  <c r="H9" i="28"/>
  <c r="H14" i="28"/>
  <c r="H21" i="28"/>
  <c r="H15" i="28"/>
  <c r="H20" i="28"/>
  <c r="H22" i="28"/>
  <c r="H16" i="28"/>
  <c r="G11" i="28"/>
  <c r="G7" i="28"/>
  <c r="G19" i="28"/>
  <c r="G23" i="28"/>
  <c r="G17" i="28"/>
  <c r="G8" i="28"/>
  <c r="G6" i="28"/>
  <c r="G10" i="28"/>
  <c r="G18" i="28"/>
  <c r="G9" i="28"/>
  <c r="G14" i="28"/>
  <c r="G21" i="28"/>
  <c r="G15" i="28"/>
  <c r="G20" i="28"/>
  <c r="G22" i="28"/>
  <c r="G16" i="28"/>
  <c r="F11" i="28"/>
  <c r="F7" i="28"/>
  <c r="F19" i="28"/>
  <c r="F23" i="28"/>
  <c r="F17" i="28"/>
  <c r="F8" i="28"/>
  <c r="F6" i="28"/>
  <c r="F10" i="28"/>
  <c r="F18" i="28"/>
  <c r="F9" i="28"/>
  <c r="F14" i="28"/>
  <c r="F21" i="28"/>
  <c r="F15" i="28"/>
  <c r="F20" i="28"/>
  <c r="F22" i="28"/>
  <c r="F16" i="28"/>
  <c r="E11" i="28"/>
  <c r="E7" i="28"/>
  <c r="E19" i="28"/>
  <c r="E23" i="28"/>
  <c r="E17" i="28"/>
  <c r="E8" i="28"/>
  <c r="E6" i="28"/>
  <c r="E10" i="28"/>
  <c r="E18" i="28"/>
  <c r="E9" i="28"/>
  <c r="E14" i="28"/>
  <c r="E21" i="28"/>
  <c r="E15" i="28"/>
  <c r="E20" i="28"/>
  <c r="E22" i="28"/>
  <c r="E16" i="28"/>
  <c r="D11" i="28"/>
  <c r="D7" i="28"/>
  <c r="D19" i="28"/>
  <c r="D23" i="28"/>
  <c r="D17" i="28"/>
  <c r="D8" i="28"/>
  <c r="D6" i="28"/>
  <c r="D10" i="28"/>
  <c r="D18" i="28"/>
  <c r="D9" i="28"/>
  <c r="D14" i="28"/>
  <c r="D21" i="28"/>
  <c r="D15" i="28"/>
  <c r="D20" i="28"/>
  <c r="D22" i="28"/>
  <c r="D16" i="28"/>
  <c r="C11" i="28"/>
  <c r="C7" i="28"/>
  <c r="C19" i="28"/>
  <c r="C23" i="28"/>
  <c r="C17" i="28"/>
  <c r="C8" i="28"/>
  <c r="C6" i="28"/>
  <c r="C10" i="28"/>
  <c r="C18" i="28"/>
  <c r="C9" i="28"/>
  <c r="C14" i="28"/>
  <c r="C21" i="28"/>
  <c r="C15" i="28"/>
  <c r="C20" i="28"/>
  <c r="C22" i="28"/>
  <c r="C16" i="28"/>
  <c r="N7" i="22"/>
  <c r="N38" i="22"/>
  <c r="N9" i="22"/>
  <c r="N21" i="22"/>
  <c r="N39" i="22"/>
  <c r="N28" i="22"/>
  <c r="N32" i="22"/>
  <c r="N10" i="22"/>
  <c r="N20" i="22"/>
  <c r="N11" i="22"/>
  <c r="N22" i="22"/>
  <c r="N23" i="22"/>
  <c r="N24" i="22"/>
  <c r="N12" i="22"/>
  <c r="N31" i="22"/>
  <c r="N30" i="22"/>
  <c r="N14" i="22"/>
  <c r="N13" i="22"/>
  <c r="N16" i="22"/>
  <c r="N15" i="22"/>
  <c r="N27" i="22"/>
  <c r="N33" i="22"/>
  <c r="N6" i="22"/>
  <c r="N29" i="22"/>
  <c r="N18" i="22"/>
  <c r="N34" i="22"/>
  <c r="N35" i="22"/>
  <c r="N36" i="22"/>
  <c r="N17" i="22"/>
  <c r="N19" i="22"/>
  <c r="N37" i="22"/>
  <c r="M7" i="22"/>
  <c r="M38" i="22"/>
  <c r="M9" i="22"/>
  <c r="M21" i="22"/>
  <c r="M39" i="22"/>
  <c r="M28" i="22"/>
  <c r="M32" i="22"/>
  <c r="M10" i="22"/>
  <c r="M20" i="22"/>
  <c r="M11" i="22"/>
  <c r="M22" i="22"/>
  <c r="M23" i="22"/>
  <c r="M24" i="22"/>
  <c r="M12" i="22"/>
  <c r="M31" i="22"/>
  <c r="M30" i="22"/>
  <c r="M14" i="22"/>
  <c r="M13" i="22"/>
  <c r="M16" i="22"/>
  <c r="M15" i="22"/>
  <c r="M27" i="22"/>
  <c r="M33" i="22"/>
  <c r="M6" i="22"/>
  <c r="M29" i="22"/>
  <c r="M18" i="22"/>
  <c r="M34" i="22"/>
  <c r="M35" i="22"/>
  <c r="M36" i="22"/>
  <c r="M17" i="22"/>
  <c r="M19" i="22"/>
  <c r="M37" i="22"/>
  <c r="L7" i="22"/>
  <c r="L38" i="22"/>
  <c r="L9" i="22"/>
  <c r="L21" i="22"/>
  <c r="L39" i="22"/>
  <c r="L28" i="22"/>
  <c r="L32" i="22"/>
  <c r="L10" i="22"/>
  <c r="L20" i="22"/>
  <c r="L11" i="22"/>
  <c r="L22" i="22"/>
  <c r="L23" i="22"/>
  <c r="L24" i="22"/>
  <c r="L12" i="22"/>
  <c r="L31" i="22"/>
  <c r="L30" i="22"/>
  <c r="L14" i="22"/>
  <c r="L13" i="22"/>
  <c r="L16" i="22"/>
  <c r="L15" i="22"/>
  <c r="L33" i="22"/>
  <c r="L6" i="22"/>
  <c r="L29" i="22"/>
  <c r="L18" i="22"/>
  <c r="L34" i="22"/>
  <c r="L35" i="22"/>
  <c r="L36" i="22"/>
  <c r="L17" i="22"/>
  <c r="L19" i="22"/>
  <c r="L37" i="22"/>
  <c r="K7" i="22"/>
  <c r="K38" i="22"/>
  <c r="K9" i="22"/>
  <c r="K21" i="22"/>
  <c r="K39" i="22"/>
  <c r="K28" i="22"/>
  <c r="K32" i="22"/>
  <c r="K10" i="22"/>
  <c r="K20" i="22"/>
  <c r="K11" i="22"/>
  <c r="K22" i="22"/>
  <c r="K23" i="22"/>
  <c r="K24" i="22"/>
  <c r="K12" i="22"/>
  <c r="K31" i="22"/>
  <c r="K30" i="22"/>
  <c r="K14" i="22"/>
  <c r="K13" i="22"/>
  <c r="K16" i="22"/>
  <c r="K15" i="22"/>
  <c r="K27" i="22"/>
  <c r="K33" i="22"/>
  <c r="K6" i="22"/>
  <c r="K29" i="22"/>
  <c r="K18" i="22"/>
  <c r="K34" i="22"/>
  <c r="K35" i="22"/>
  <c r="K36" i="22"/>
  <c r="K17" i="22"/>
  <c r="K19" i="22"/>
  <c r="K37" i="22"/>
  <c r="J7" i="22"/>
  <c r="J38" i="22"/>
  <c r="J9" i="22"/>
  <c r="J21" i="22"/>
  <c r="J39" i="22"/>
  <c r="J28" i="22"/>
  <c r="J32" i="22"/>
  <c r="J10" i="22"/>
  <c r="J20" i="22"/>
  <c r="J11" i="22"/>
  <c r="J22" i="22"/>
  <c r="J23" i="22"/>
  <c r="J24" i="22"/>
  <c r="J12" i="22"/>
  <c r="J31" i="22"/>
  <c r="J30" i="22"/>
  <c r="J14" i="22"/>
  <c r="J13" i="22"/>
  <c r="J16" i="22"/>
  <c r="J15" i="22"/>
  <c r="J27" i="22"/>
  <c r="J33" i="22"/>
  <c r="J6" i="22"/>
  <c r="J29" i="22"/>
  <c r="J18" i="22"/>
  <c r="J34" i="22"/>
  <c r="J35" i="22"/>
  <c r="J36" i="22"/>
  <c r="J17" i="22"/>
  <c r="J19" i="22"/>
  <c r="J37" i="22"/>
  <c r="I7" i="22"/>
  <c r="I38" i="22"/>
  <c r="I9" i="22"/>
  <c r="I21" i="22"/>
  <c r="I39" i="22"/>
  <c r="I28" i="22"/>
  <c r="I32" i="22"/>
  <c r="I10" i="22"/>
  <c r="I20" i="22"/>
  <c r="I11" i="22"/>
  <c r="I22" i="22"/>
  <c r="I23" i="22"/>
  <c r="I24" i="22"/>
  <c r="I12" i="22"/>
  <c r="I31" i="22"/>
  <c r="I30" i="22"/>
  <c r="I14" i="22"/>
  <c r="I13" i="22"/>
  <c r="I16" i="22"/>
  <c r="I15" i="22"/>
  <c r="I27" i="22"/>
  <c r="I33" i="22"/>
  <c r="I6" i="22"/>
  <c r="I29" i="22"/>
  <c r="I18" i="22"/>
  <c r="I34" i="22"/>
  <c r="I35" i="22"/>
  <c r="I36" i="22"/>
  <c r="I17" i="22"/>
  <c r="I19" i="22"/>
  <c r="I37" i="22"/>
  <c r="H7" i="22"/>
  <c r="H38" i="22"/>
  <c r="H9" i="22"/>
  <c r="H21" i="22"/>
  <c r="H39" i="22"/>
  <c r="H28" i="22"/>
  <c r="H32" i="22"/>
  <c r="H10" i="22"/>
  <c r="H20" i="22"/>
  <c r="H11" i="22"/>
  <c r="H22" i="22"/>
  <c r="H23" i="22"/>
  <c r="H24" i="22"/>
  <c r="H12" i="22"/>
  <c r="H31" i="22"/>
  <c r="H30" i="22"/>
  <c r="H14" i="22"/>
  <c r="H13" i="22"/>
  <c r="H16" i="22"/>
  <c r="H15" i="22"/>
  <c r="H27" i="22"/>
  <c r="H33" i="22"/>
  <c r="H6" i="22"/>
  <c r="H29" i="22"/>
  <c r="H18" i="22"/>
  <c r="H34" i="22"/>
  <c r="H35" i="22"/>
  <c r="H36" i="22"/>
  <c r="H17" i="22"/>
  <c r="H19" i="22"/>
  <c r="H37" i="22"/>
  <c r="G7" i="22"/>
  <c r="G38" i="22"/>
  <c r="G9" i="22"/>
  <c r="G21" i="22"/>
  <c r="G39" i="22"/>
  <c r="G28" i="22"/>
  <c r="G32" i="22"/>
  <c r="G10" i="22"/>
  <c r="G20" i="22"/>
  <c r="G11" i="22"/>
  <c r="G22" i="22"/>
  <c r="G23" i="22"/>
  <c r="G24" i="22"/>
  <c r="G12" i="22"/>
  <c r="G31" i="22"/>
  <c r="G30" i="22"/>
  <c r="G14" i="22"/>
  <c r="G13" i="22"/>
  <c r="G16" i="22"/>
  <c r="G15" i="22"/>
  <c r="G27" i="22"/>
  <c r="G33" i="22"/>
  <c r="G6" i="22"/>
  <c r="G29" i="22"/>
  <c r="G18" i="22"/>
  <c r="G34" i="22"/>
  <c r="G35" i="22"/>
  <c r="G36" i="22"/>
  <c r="G17" i="22"/>
  <c r="G19" i="22"/>
  <c r="G37" i="22"/>
  <c r="F7" i="22"/>
  <c r="F38" i="22"/>
  <c r="F9" i="22"/>
  <c r="F21" i="22"/>
  <c r="F39" i="22"/>
  <c r="F28" i="22"/>
  <c r="F32" i="22"/>
  <c r="F10" i="22"/>
  <c r="F20" i="22"/>
  <c r="F11" i="22"/>
  <c r="F22" i="22"/>
  <c r="F23" i="22"/>
  <c r="F24" i="22"/>
  <c r="F12" i="22"/>
  <c r="F31" i="22"/>
  <c r="F30" i="22"/>
  <c r="F14" i="22"/>
  <c r="F13" i="22"/>
  <c r="F16" i="22"/>
  <c r="F15" i="22"/>
  <c r="F27" i="22"/>
  <c r="F33" i="22"/>
  <c r="F6" i="22"/>
  <c r="F29" i="22"/>
  <c r="F18" i="22"/>
  <c r="F34" i="22"/>
  <c r="F35" i="22"/>
  <c r="F36" i="22"/>
  <c r="F17" i="22"/>
  <c r="F19" i="22"/>
  <c r="F37" i="22"/>
  <c r="E7" i="22"/>
  <c r="E38" i="22"/>
  <c r="E9" i="22"/>
  <c r="E21" i="22"/>
  <c r="E39" i="22"/>
  <c r="E28" i="22"/>
  <c r="E32" i="22"/>
  <c r="E10" i="22"/>
  <c r="E20" i="22"/>
  <c r="E11" i="22"/>
  <c r="E22" i="22"/>
  <c r="E23" i="22"/>
  <c r="E24" i="22"/>
  <c r="E12" i="22"/>
  <c r="E31" i="22"/>
  <c r="E30" i="22"/>
  <c r="E14" i="22"/>
  <c r="E13" i="22"/>
  <c r="E16" i="22"/>
  <c r="E15" i="22"/>
  <c r="E27" i="22"/>
  <c r="E33" i="22"/>
  <c r="E6" i="22"/>
  <c r="E29" i="22"/>
  <c r="E18" i="22"/>
  <c r="E34" i="22"/>
  <c r="E35" i="22"/>
  <c r="E36" i="22"/>
  <c r="E17" i="22"/>
  <c r="E19" i="22"/>
  <c r="E37" i="22"/>
  <c r="D7" i="22"/>
  <c r="D38" i="22"/>
  <c r="D9" i="22"/>
  <c r="D21" i="22"/>
  <c r="D39" i="22"/>
  <c r="D28" i="22"/>
  <c r="D32" i="22"/>
  <c r="D10" i="22"/>
  <c r="D20" i="22"/>
  <c r="D11" i="22"/>
  <c r="D22" i="22"/>
  <c r="D23" i="22"/>
  <c r="D24" i="22"/>
  <c r="D12" i="22"/>
  <c r="D31" i="22"/>
  <c r="D30" i="22"/>
  <c r="D14" i="22"/>
  <c r="D13" i="22"/>
  <c r="D16" i="22"/>
  <c r="D15" i="22"/>
  <c r="D27" i="22"/>
  <c r="D33" i="22"/>
  <c r="D6" i="22"/>
  <c r="D29" i="22"/>
  <c r="D18" i="22"/>
  <c r="D34" i="22"/>
  <c r="D35" i="22"/>
  <c r="D36" i="22"/>
  <c r="D17" i="22"/>
  <c r="D19" i="22"/>
  <c r="D37" i="22"/>
  <c r="C38" i="22"/>
  <c r="C9" i="22"/>
  <c r="C21" i="22"/>
  <c r="C39" i="22"/>
  <c r="C28" i="22"/>
  <c r="C32" i="22"/>
  <c r="C10" i="22"/>
  <c r="C20" i="22"/>
  <c r="C11" i="22"/>
  <c r="C22" i="22"/>
  <c r="C23" i="22"/>
  <c r="C24" i="22"/>
  <c r="C12" i="22"/>
  <c r="C31" i="22"/>
  <c r="C30" i="22"/>
  <c r="C14" i="22"/>
  <c r="C13" i="22"/>
  <c r="C16" i="22"/>
  <c r="C15" i="22"/>
  <c r="C27" i="22"/>
  <c r="C33" i="22"/>
  <c r="C6" i="22"/>
  <c r="C29" i="22"/>
  <c r="C18" i="22"/>
  <c r="C34" i="22"/>
  <c r="C35" i="22"/>
  <c r="C36" i="22"/>
  <c r="C17" i="22"/>
  <c r="C19" i="22"/>
  <c r="C37" i="22"/>
  <c r="C8" i="26"/>
  <c r="N23" i="26"/>
  <c r="N22" i="26"/>
  <c r="N24" i="26"/>
  <c r="N30" i="26"/>
  <c r="N33" i="26"/>
  <c r="N32" i="26"/>
  <c r="N15" i="26"/>
  <c r="N29" i="26"/>
  <c r="N14" i="26"/>
  <c r="N9" i="26"/>
  <c r="N35" i="26"/>
  <c r="N34" i="26"/>
  <c r="N31" i="26"/>
  <c r="N12" i="26"/>
  <c r="N6" i="26"/>
  <c r="N20" i="26"/>
  <c r="N21" i="26"/>
  <c r="N10" i="26"/>
  <c r="N17" i="26"/>
  <c r="N7" i="26"/>
  <c r="N16" i="26"/>
  <c r="N25" i="26"/>
  <c r="N26" i="26"/>
  <c r="N11" i="26"/>
  <c r="N27" i="26"/>
  <c r="N28" i="26"/>
  <c r="M8" i="26"/>
  <c r="M23" i="26"/>
  <c r="M22" i="26"/>
  <c r="M24" i="26"/>
  <c r="M30" i="26"/>
  <c r="M33" i="26"/>
  <c r="M32" i="26"/>
  <c r="M15" i="26"/>
  <c r="M29" i="26"/>
  <c r="M14" i="26"/>
  <c r="M9" i="26"/>
  <c r="M35" i="26"/>
  <c r="M34" i="26"/>
  <c r="M31" i="26"/>
  <c r="M12" i="26"/>
  <c r="M6" i="26"/>
  <c r="M20" i="26"/>
  <c r="M21" i="26"/>
  <c r="M10" i="26"/>
  <c r="M17" i="26"/>
  <c r="M7" i="26"/>
  <c r="M16" i="26"/>
  <c r="M25" i="26"/>
  <c r="M26" i="26"/>
  <c r="M11" i="26"/>
  <c r="M27" i="26"/>
  <c r="M28" i="26"/>
  <c r="L23" i="26"/>
  <c r="L22" i="26"/>
  <c r="L24" i="26"/>
  <c r="L30" i="26"/>
  <c r="L33" i="26"/>
  <c r="L32" i="26"/>
  <c r="L15" i="26"/>
  <c r="L29" i="26"/>
  <c r="L14" i="26"/>
  <c r="L9" i="26"/>
  <c r="L35" i="26"/>
  <c r="L34" i="26"/>
  <c r="L31" i="26"/>
  <c r="L12" i="26"/>
  <c r="L6" i="26"/>
  <c r="L20" i="26"/>
  <c r="L21" i="26"/>
  <c r="L10" i="26"/>
  <c r="L17" i="26"/>
  <c r="L7" i="26"/>
  <c r="L16" i="26"/>
  <c r="L25" i="26"/>
  <c r="L26" i="26"/>
  <c r="L11" i="26"/>
  <c r="L27" i="26"/>
  <c r="L28" i="26"/>
  <c r="K8" i="26"/>
  <c r="K23" i="26"/>
  <c r="K22" i="26"/>
  <c r="K24" i="26"/>
  <c r="K30" i="26"/>
  <c r="K33" i="26"/>
  <c r="K32" i="26"/>
  <c r="K15" i="26"/>
  <c r="K29" i="26"/>
  <c r="K14" i="26"/>
  <c r="K9" i="26"/>
  <c r="K35" i="26"/>
  <c r="K34" i="26"/>
  <c r="K31" i="26"/>
  <c r="K12" i="26"/>
  <c r="K6" i="26"/>
  <c r="K20" i="26"/>
  <c r="K21" i="26"/>
  <c r="K10" i="26"/>
  <c r="K17" i="26"/>
  <c r="K7" i="26"/>
  <c r="K16" i="26"/>
  <c r="K25" i="26"/>
  <c r="K26" i="26"/>
  <c r="K11" i="26"/>
  <c r="K27" i="26"/>
  <c r="K28" i="26"/>
  <c r="J8" i="26"/>
  <c r="J23" i="26"/>
  <c r="J22" i="26"/>
  <c r="J24" i="26"/>
  <c r="J30" i="26"/>
  <c r="J33" i="26"/>
  <c r="J32" i="26"/>
  <c r="J15" i="26"/>
  <c r="J29" i="26"/>
  <c r="J14" i="26"/>
  <c r="J9" i="26"/>
  <c r="J35" i="26"/>
  <c r="J34" i="26"/>
  <c r="J31" i="26"/>
  <c r="J12" i="26"/>
  <c r="J6" i="26"/>
  <c r="J20" i="26"/>
  <c r="J21" i="26"/>
  <c r="J10" i="26"/>
  <c r="J17" i="26"/>
  <c r="J7" i="26"/>
  <c r="J16" i="26"/>
  <c r="J25" i="26"/>
  <c r="J26" i="26"/>
  <c r="J11" i="26"/>
  <c r="J27" i="26"/>
  <c r="J28" i="26"/>
  <c r="I8" i="26"/>
  <c r="I23" i="26"/>
  <c r="I22" i="26"/>
  <c r="I24" i="26"/>
  <c r="I30" i="26"/>
  <c r="I33" i="26"/>
  <c r="I32" i="26"/>
  <c r="I15" i="26"/>
  <c r="I29" i="26"/>
  <c r="I14" i="26"/>
  <c r="I9" i="26"/>
  <c r="I35" i="26"/>
  <c r="I34" i="26"/>
  <c r="I31" i="26"/>
  <c r="I12" i="26"/>
  <c r="I6" i="26"/>
  <c r="I20" i="26"/>
  <c r="I21" i="26"/>
  <c r="I10" i="26"/>
  <c r="I17" i="26"/>
  <c r="I7" i="26"/>
  <c r="I16" i="26"/>
  <c r="I25" i="26"/>
  <c r="I26" i="26"/>
  <c r="I11" i="26"/>
  <c r="I27" i="26"/>
  <c r="I28" i="26"/>
  <c r="H8" i="26"/>
  <c r="H23" i="26"/>
  <c r="H22" i="26"/>
  <c r="H24" i="26"/>
  <c r="H30" i="26"/>
  <c r="H33" i="26"/>
  <c r="H32" i="26"/>
  <c r="H15" i="26"/>
  <c r="H29" i="26"/>
  <c r="H14" i="26"/>
  <c r="H9" i="26"/>
  <c r="H35" i="26"/>
  <c r="H34" i="26"/>
  <c r="H31" i="26"/>
  <c r="H12" i="26"/>
  <c r="H6" i="26"/>
  <c r="H20" i="26"/>
  <c r="H21" i="26"/>
  <c r="H10" i="26"/>
  <c r="H17" i="26"/>
  <c r="H7" i="26"/>
  <c r="H16" i="26"/>
  <c r="H25" i="26"/>
  <c r="H26" i="26"/>
  <c r="H11" i="26"/>
  <c r="H27" i="26"/>
  <c r="H28" i="26"/>
  <c r="G8" i="26"/>
  <c r="G23" i="26"/>
  <c r="G22" i="26"/>
  <c r="G24" i="26"/>
  <c r="G30" i="26"/>
  <c r="G33" i="26"/>
  <c r="G32" i="26"/>
  <c r="G15" i="26"/>
  <c r="G29" i="26"/>
  <c r="G14" i="26"/>
  <c r="G9" i="26"/>
  <c r="G35" i="26"/>
  <c r="G34" i="26"/>
  <c r="G31" i="26"/>
  <c r="G12" i="26"/>
  <c r="G6" i="26"/>
  <c r="G20" i="26"/>
  <c r="G21" i="26"/>
  <c r="G10" i="26"/>
  <c r="G17" i="26"/>
  <c r="G7" i="26"/>
  <c r="G16" i="26"/>
  <c r="G25" i="26"/>
  <c r="G26" i="26"/>
  <c r="G11" i="26"/>
  <c r="G27" i="26"/>
  <c r="G28" i="26"/>
  <c r="F8" i="26"/>
  <c r="F23" i="26"/>
  <c r="F22" i="26"/>
  <c r="F24" i="26"/>
  <c r="F30" i="26"/>
  <c r="F33" i="26"/>
  <c r="F32" i="26"/>
  <c r="F15" i="26"/>
  <c r="F29" i="26"/>
  <c r="F14" i="26"/>
  <c r="F9" i="26"/>
  <c r="F35" i="26"/>
  <c r="F34" i="26"/>
  <c r="F31" i="26"/>
  <c r="F12" i="26"/>
  <c r="F6" i="26"/>
  <c r="F20" i="26"/>
  <c r="F21" i="26"/>
  <c r="F10" i="26"/>
  <c r="F17" i="26"/>
  <c r="F7" i="26"/>
  <c r="F16" i="26"/>
  <c r="F25" i="26"/>
  <c r="F26" i="26"/>
  <c r="F11" i="26"/>
  <c r="F27" i="26"/>
  <c r="F28" i="26"/>
  <c r="E8" i="26"/>
  <c r="E23" i="26"/>
  <c r="E22" i="26"/>
  <c r="E24" i="26"/>
  <c r="E30" i="26"/>
  <c r="E33" i="26"/>
  <c r="E32" i="26"/>
  <c r="E15" i="26"/>
  <c r="E29" i="26"/>
  <c r="E14" i="26"/>
  <c r="E9" i="26"/>
  <c r="E35" i="26"/>
  <c r="E34" i="26"/>
  <c r="E31" i="26"/>
  <c r="E12" i="26"/>
  <c r="E6" i="26"/>
  <c r="E20" i="26"/>
  <c r="E21" i="26"/>
  <c r="E10" i="26"/>
  <c r="E17" i="26"/>
  <c r="E7" i="26"/>
  <c r="E16" i="26"/>
  <c r="E25" i="26"/>
  <c r="E26" i="26"/>
  <c r="E11" i="26"/>
  <c r="E27" i="26"/>
  <c r="E28" i="26"/>
  <c r="D8" i="26"/>
  <c r="D23" i="26"/>
  <c r="D22" i="26"/>
  <c r="D24" i="26"/>
  <c r="D30" i="26"/>
  <c r="D33" i="26"/>
  <c r="D32" i="26"/>
  <c r="D15" i="26"/>
  <c r="D29" i="26"/>
  <c r="D14" i="26"/>
  <c r="D9" i="26"/>
  <c r="D35" i="26"/>
  <c r="D34" i="26"/>
  <c r="D31" i="26"/>
  <c r="D12" i="26"/>
  <c r="D6" i="26"/>
  <c r="D20" i="26"/>
  <c r="D21" i="26"/>
  <c r="D10" i="26"/>
  <c r="D17" i="26"/>
  <c r="D7" i="26"/>
  <c r="D16" i="26"/>
  <c r="D25" i="26"/>
  <c r="D26" i="26"/>
  <c r="D11" i="26"/>
  <c r="D27" i="26"/>
  <c r="D28" i="26"/>
  <c r="C23" i="26"/>
  <c r="C22" i="26"/>
  <c r="C24" i="26"/>
  <c r="C30" i="26"/>
  <c r="C33" i="26"/>
  <c r="C32" i="26"/>
  <c r="C15" i="26"/>
  <c r="C29" i="26"/>
  <c r="C14" i="26"/>
  <c r="C9" i="26"/>
  <c r="C35" i="26"/>
  <c r="C34" i="26"/>
  <c r="C31" i="26"/>
  <c r="C12" i="26"/>
  <c r="C6" i="26"/>
  <c r="C20" i="26"/>
  <c r="C21" i="26"/>
  <c r="C10" i="26"/>
  <c r="C17" i="26"/>
  <c r="C7" i="26"/>
  <c r="C16" i="26"/>
  <c r="C25" i="26"/>
  <c r="C26" i="26"/>
  <c r="C11" i="26"/>
  <c r="C27" i="26"/>
  <c r="C28" i="26"/>
  <c r="C22" i="25"/>
  <c r="N22" i="25"/>
  <c r="N9" i="25"/>
  <c r="N18" i="25"/>
  <c r="N25" i="25"/>
  <c r="N21" i="25"/>
  <c r="N6" i="25"/>
  <c r="N10" i="25"/>
  <c r="N28" i="25"/>
  <c r="N11" i="25"/>
  <c r="N19" i="25"/>
  <c r="N23" i="25"/>
  <c r="N29" i="25"/>
  <c r="N12" i="25"/>
  <c r="N20" i="25"/>
  <c r="N31" i="25"/>
  <c r="N17" i="25"/>
  <c r="N13" i="25"/>
  <c r="N24" i="25"/>
  <c r="N26" i="25"/>
  <c r="N30" i="25"/>
  <c r="N7" i="25"/>
  <c r="N14" i="25"/>
  <c r="N15" i="25"/>
  <c r="N16" i="25"/>
  <c r="N33" i="25"/>
  <c r="N34" i="25"/>
  <c r="N35" i="25"/>
  <c r="N36" i="25"/>
  <c r="N32" i="25"/>
  <c r="M22" i="25"/>
  <c r="M9" i="25"/>
  <c r="M18" i="25"/>
  <c r="M25" i="25"/>
  <c r="M21" i="25"/>
  <c r="M6" i="25"/>
  <c r="M10" i="25"/>
  <c r="M28" i="25"/>
  <c r="M11" i="25"/>
  <c r="M19" i="25"/>
  <c r="M23" i="25"/>
  <c r="M29" i="25"/>
  <c r="M12" i="25"/>
  <c r="M20" i="25"/>
  <c r="M17" i="25"/>
  <c r="M13" i="25"/>
  <c r="M24" i="25"/>
  <c r="M30" i="25"/>
  <c r="M7" i="25"/>
  <c r="M14" i="25"/>
  <c r="M15" i="25"/>
  <c r="M16" i="25"/>
  <c r="M33" i="25"/>
  <c r="M34" i="25"/>
  <c r="M35" i="25"/>
  <c r="M36" i="25"/>
  <c r="L22" i="25"/>
  <c r="L9" i="25"/>
  <c r="L18" i="25"/>
  <c r="L25" i="25"/>
  <c r="L21" i="25"/>
  <c r="L6" i="25"/>
  <c r="L10" i="25"/>
  <c r="L28" i="25"/>
  <c r="L11" i="25"/>
  <c r="L19" i="25"/>
  <c r="L23" i="25"/>
  <c r="L29" i="25"/>
  <c r="L12" i="25"/>
  <c r="L20" i="25"/>
  <c r="L17" i="25"/>
  <c r="L13" i="25"/>
  <c r="L24" i="25"/>
  <c r="L26" i="25"/>
  <c r="L30" i="25"/>
  <c r="L7" i="25"/>
  <c r="L14" i="25"/>
  <c r="L15" i="25"/>
  <c r="L16" i="25"/>
  <c r="L33" i="25"/>
  <c r="L34" i="25"/>
  <c r="L35" i="25"/>
  <c r="L36" i="25"/>
  <c r="L32" i="25"/>
  <c r="K22" i="25"/>
  <c r="K9" i="25"/>
  <c r="K18" i="25"/>
  <c r="K25" i="25"/>
  <c r="K21" i="25"/>
  <c r="K6" i="25"/>
  <c r="K10" i="25"/>
  <c r="K28" i="25"/>
  <c r="K11" i="25"/>
  <c r="K19" i="25"/>
  <c r="K23" i="25"/>
  <c r="K29" i="25"/>
  <c r="K12" i="25"/>
  <c r="K20" i="25"/>
  <c r="K31" i="25"/>
  <c r="K17" i="25"/>
  <c r="K13" i="25"/>
  <c r="K24" i="25"/>
  <c r="K26" i="25"/>
  <c r="K30" i="25"/>
  <c r="K7" i="25"/>
  <c r="K14" i="25"/>
  <c r="K15" i="25"/>
  <c r="K16" i="25"/>
  <c r="K33" i="25"/>
  <c r="K34" i="25"/>
  <c r="K35" i="25"/>
  <c r="K36" i="25"/>
  <c r="K32" i="25"/>
  <c r="J22" i="25"/>
  <c r="J9" i="25"/>
  <c r="J18" i="25"/>
  <c r="J25" i="25"/>
  <c r="J21" i="25"/>
  <c r="J6" i="25"/>
  <c r="J10" i="25"/>
  <c r="J28" i="25"/>
  <c r="J11" i="25"/>
  <c r="J19" i="25"/>
  <c r="J23" i="25"/>
  <c r="J29" i="25"/>
  <c r="J12" i="25"/>
  <c r="J20" i="25"/>
  <c r="J31" i="25"/>
  <c r="J17" i="25"/>
  <c r="J13" i="25"/>
  <c r="J24" i="25"/>
  <c r="J26" i="25"/>
  <c r="J30" i="25"/>
  <c r="J7" i="25"/>
  <c r="J14" i="25"/>
  <c r="J15" i="25"/>
  <c r="J16" i="25"/>
  <c r="J33" i="25"/>
  <c r="J34" i="25"/>
  <c r="J35" i="25"/>
  <c r="J36" i="25"/>
  <c r="J32" i="25"/>
  <c r="I22" i="25"/>
  <c r="I9" i="25"/>
  <c r="I18" i="25"/>
  <c r="I25" i="25"/>
  <c r="I21" i="25"/>
  <c r="I6" i="25"/>
  <c r="I10" i="25"/>
  <c r="I28" i="25"/>
  <c r="I11" i="25"/>
  <c r="I19" i="25"/>
  <c r="I23" i="25"/>
  <c r="I29" i="25"/>
  <c r="I12" i="25"/>
  <c r="I20" i="25"/>
  <c r="I31" i="25"/>
  <c r="I17" i="25"/>
  <c r="I13" i="25"/>
  <c r="I24" i="25"/>
  <c r="I26" i="25"/>
  <c r="I30" i="25"/>
  <c r="I7" i="25"/>
  <c r="I14" i="25"/>
  <c r="I15" i="25"/>
  <c r="I16" i="25"/>
  <c r="I33" i="25"/>
  <c r="I34" i="25"/>
  <c r="I35" i="25"/>
  <c r="I36" i="25"/>
  <c r="I32" i="25"/>
  <c r="H22" i="25"/>
  <c r="H9" i="25"/>
  <c r="H18" i="25"/>
  <c r="H25" i="25"/>
  <c r="H21" i="25"/>
  <c r="H6" i="25"/>
  <c r="H10" i="25"/>
  <c r="H28" i="25"/>
  <c r="H11" i="25"/>
  <c r="H19" i="25"/>
  <c r="H23" i="25"/>
  <c r="H29" i="25"/>
  <c r="H12" i="25"/>
  <c r="H20" i="25"/>
  <c r="H31" i="25"/>
  <c r="H17" i="25"/>
  <c r="H13" i="25"/>
  <c r="H24" i="25"/>
  <c r="H26" i="25"/>
  <c r="H30" i="25"/>
  <c r="H7" i="25"/>
  <c r="H14" i="25"/>
  <c r="H15" i="25"/>
  <c r="H16" i="25"/>
  <c r="H33" i="25"/>
  <c r="H34" i="25"/>
  <c r="H35" i="25"/>
  <c r="H36" i="25"/>
  <c r="H32" i="25"/>
  <c r="G22" i="25"/>
  <c r="G9" i="25"/>
  <c r="G18" i="25"/>
  <c r="G25" i="25"/>
  <c r="G21" i="25"/>
  <c r="G6" i="25"/>
  <c r="G10" i="25"/>
  <c r="G28" i="25"/>
  <c r="G11" i="25"/>
  <c r="G19" i="25"/>
  <c r="G23" i="25"/>
  <c r="G29" i="25"/>
  <c r="G12" i="25"/>
  <c r="G20" i="25"/>
  <c r="G31" i="25"/>
  <c r="G17" i="25"/>
  <c r="G13" i="25"/>
  <c r="G24" i="25"/>
  <c r="G26" i="25"/>
  <c r="G30" i="25"/>
  <c r="G7" i="25"/>
  <c r="G14" i="25"/>
  <c r="G15" i="25"/>
  <c r="G16" i="25"/>
  <c r="G33" i="25"/>
  <c r="G34" i="25"/>
  <c r="G35" i="25"/>
  <c r="G36" i="25"/>
  <c r="G32" i="25"/>
  <c r="F22" i="25"/>
  <c r="F9" i="25"/>
  <c r="F18" i="25"/>
  <c r="F25" i="25"/>
  <c r="F21" i="25"/>
  <c r="F6" i="25"/>
  <c r="F10" i="25"/>
  <c r="F28" i="25"/>
  <c r="F11" i="25"/>
  <c r="F19" i="25"/>
  <c r="F23" i="25"/>
  <c r="F29" i="25"/>
  <c r="F12" i="25"/>
  <c r="F20" i="25"/>
  <c r="F31" i="25"/>
  <c r="F17" i="25"/>
  <c r="F13" i="25"/>
  <c r="F24" i="25"/>
  <c r="F26" i="25"/>
  <c r="F30" i="25"/>
  <c r="F7" i="25"/>
  <c r="F14" i="25"/>
  <c r="F15" i="25"/>
  <c r="F16" i="25"/>
  <c r="F33" i="25"/>
  <c r="F34" i="25"/>
  <c r="F35" i="25"/>
  <c r="F36" i="25"/>
  <c r="F32" i="25"/>
  <c r="E22" i="25"/>
  <c r="E9" i="25"/>
  <c r="E18" i="25"/>
  <c r="E25" i="25"/>
  <c r="E21" i="25"/>
  <c r="E6" i="25"/>
  <c r="E10" i="25"/>
  <c r="E28" i="25"/>
  <c r="E11" i="25"/>
  <c r="E19" i="25"/>
  <c r="E23" i="25"/>
  <c r="E29" i="25"/>
  <c r="E12" i="25"/>
  <c r="E20" i="25"/>
  <c r="E31" i="25"/>
  <c r="E17" i="25"/>
  <c r="E13" i="25"/>
  <c r="E24" i="25"/>
  <c r="E26" i="25"/>
  <c r="E30" i="25"/>
  <c r="E7" i="25"/>
  <c r="E14" i="25"/>
  <c r="E15" i="25"/>
  <c r="E16" i="25"/>
  <c r="E33" i="25"/>
  <c r="E34" i="25"/>
  <c r="E35" i="25"/>
  <c r="E36" i="25"/>
  <c r="E32" i="25"/>
  <c r="D22" i="25"/>
  <c r="D9" i="25"/>
  <c r="D18" i="25"/>
  <c r="D25" i="25"/>
  <c r="D21" i="25"/>
  <c r="D6" i="25"/>
  <c r="D10" i="25"/>
  <c r="D28" i="25"/>
  <c r="D11" i="25"/>
  <c r="D19" i="25"/>
  <c r="D23" i="25"/>
  <c r="D29" i="25"/>
  <c r="D12" i="25"/>
  <c r="D20" i="25"/>
  <c r="D31" i="25"/>
  <c r="D17" i="25"/>
  <c r="D13" i="25"/>
  <c r="D24" i="25"/>
  <c r="D26" i="25"/>
  <c r="D30" i="25"/>
  <c r="D7" i="25"/>
  <c r="D14" i="25"/>
  <c r="D15" i="25"/>
  <c r="D16" i="25"/>
  <c r="D33" i="25"/>
  <c r="D34" i="25"/>
  <c r="D35" i="25"/>
  <c r="D36" i="25"/>
  <c r="D32" i="25"/>
  <c r="C9" i="25"/>
  <c r="C18" i="25"/>
  <c r="C25" i="25"/>
  <c r="C21" i="25"/>
  <c r="C6" i="25"/>
  <c r="C10" i="25"/>
  <c r="C28" i="25"/>
  <c r="C11" i="25"/>
  <c r="C19" i="25"/>
  <c r="C23" i="25"/>
  <c r="C29" i="25"/>
  <c r="C12" i="25"/>
  <c r="C20" i="25"/>
  <c r="C31" i="25"/>
  <c r="C17" i="25"/>
  <c r="C13" i="25"/>
  <c r="C24" i="25"/>
  <c r="C26" i="25"/>
  <c r="C30" i="25"/>
  <c r="C7" i="25"/>
  <c r="C14" i="25"/>
  <c r="C15" i="25"/>
  <c r="C16" i="25"/>
  <c r="C33" i="25"/>
  <c r="C34" i="25"/>
  <c r="C35" i="25"/>
  <c r="C36" i="25"/>
  <c r="C32" i="25"/>
  <c r="C24" i="24"/>
  <c r="N24" i="24"/>
  <c r="N22" i="24"/>
  <c r="N17" i="24"/>
  <c r="N18" i="24"/>
  <c r="N9" i="24"/>
  <c r="N19" i="24"/>
  <c r="N8" i="24"/>
  <c r="N10" i="24"/>
  <c r="N20" i="24"/>
  <c r="N14" i="24"/>
  <c r="N6" i="24"/>
  <c r="N23" i="24"/>
  <c r="N12" i="24"/>
  <c r="N16" i="24"/>
  <c r="N11" i="24"/>
  <c r="N13" i="24"/>
  <c r="N21" i="24"/>
  <c r="M24" i="24"/>
  <c r="M22" i="24"/>
  <c r="M17" i="24"/>
  <c r="M18" i="24"/>
  <c r="M9" i="24"/>
  <c r="M19" i="24"/>
  <c r="M8" i="24"/>
  <c r="M10" i="24"/>
  <c r="M20" i="24"/>
  <c r="M14" i="24"/>
  <c r="M6" i="24"/>
  <c r="M23" i="24"/>
  <c r="M12" i="24"/>
  <c r="M16" i="24"/>
  <c r="M11" i="24"/>
  <c r="M13" i="24"/>
  <c r="M21" i="24"/>
  <c r="L24" i="24"/>
  <c r="L22" i="24"/>
  <c r="L17" i="24"/>
  <c r="L18" i="24"/>
  <c r="L9" i="24"/>
  <c r="L19" i="24"/>
  <c r="L8" i="24"/>
  <c r="L10" i="24"/>
  <c r="L20" i="24"/>
  <c r="L14" i="24"/>
  <c r="L6" i="24"/>
  <c r="L23" i="24"/>
  <c r="L12" i="24"/>
  <c r="L16" i="24"/>
  <c r="L11" i="24"/>
  <c r="L13" i="24"/>
  <c r="L21" i="24"/>
  <c r="K24" i="24"/>
  <c r="K22" i="24"/>
  <c r="K9" i="24"/>
  <c r="K8" i="24"/>
  <c r="K10" i="24"/>
  <c r="K20" i="24"/>
  <c r="K14" i="24"/>
  <c r="K6" i="24"/>
  <c r="K23" i="24"/>
  <c r="K12" i="24"/>
  <c r="K16" i="24"/>
  <c r="K11" i="24"/>
  <c r="K13" i="24"/>
  <c r="K21" i="24"/>
  <c r="J24" i="24"/>
  <c r="J22" i="24"/>
  <c r="J17" i="24"/>
  <c r="J18" i="24"/>
  <c r="J9" i="24"/>
  <c r="J19" i="24"/>
  <c r="J8" i="24"/>
  <c r="J10" i="24"/>
  <c r="J20" i="24"/>
  <c r="J14" i="24"/>
  <c r="J15" i="24"/>
  <c r="J6" i="24"/>
  <c r="J23" i="24"/>
  <c r="J12" i="24"/>
  <c r="J16" i="24"/>
  <c r="J11" i="24"/>
  <c r="J13" i="24"/>
  <c r="J21" i="24"/>
  <c r="I24" i="24"/>
  <c r="I22" i="24"/>
  <c r="I17" i="24"/>
  <c r="I18" i="24"/>
  <c r="I9" i="24"/>
  <c r="I19" i="24"/>
  <c r="I8" i="24"/>
  <c r="I10" i="24"/>
  <c r="I20" i="24"/>
  <c r="I14" i="24"/>
  <c r="I15" i="24"/>
  <c r="I6" i="24"/>
  <c r="I23" i="24"/>
  <c r="I12" i="24"/>
  <c r="I16" i="24"/>
  <c r="I11" i="24"/>
  <c r="I13" i="24"/>
  <c r="I21" i="24"/>
  <c r="H24" i="24"/>
  <c r="H22" i="24"/>
  <c r="H17" i="24"/>
  <c r="H18" i="24"/>
  <c r="H9" i="24"/>
  <c r="H19" i="24"/>
  <c r="H8" i="24"/>
  <c r="H10" i="24"/>
  <c r="H20" i="24"/>
  <c r="H14" i="24"/>
  <c r="H15" i="24"/>
  <c r="H6" i="24"/>
  <c r="H23" i="24"/>
  <c r="H12" i="24"/>
  <c r="H16" i="24"/>
  <c r="H11" i="24"/>
  <c r="H13" i="24"/>
  <c r="H21" i="24"/>
  <c r="G24" i="24"/>
  <c r="G22" i="24"/>
  <c r="G17" i="24"/>
  <c r="G18" i="24"/>
  <c r="G9" i="24"/>
  <c r="G19" i="24"/>
  <c r="G8" i="24"/>
  <c r="G10" i="24"/>
  <c r="G20" i="24"/>
  <c r="G14" i="24"/>
  <c r="G15" i="24"/>
  <c r="G6" i="24"/>
  <c r="G23" i="24"/>
  <c r="G12" i="24"/>
  <c r="G16" i="24"/>
  <c r="G11" i="24"/>
  <c r="G13" i="24"/>
  <c r="G21" i="24"/>
  <c r="F24" i="24"/>
  <c r="F22" i="24"/>
  <c r="F17" i="24"/>
  <c r="F18" i="24"/>
  <c r="F9" i="24"/>
  <c r="F19" i="24"/>
  <c r="F8" i="24"/>
  <c r="F10" i="24"/>
  <c r="F20" i="24"/>
  <c r="F14" i="24"/>
  <c r="F15" i="24"/>
  <c r="F6" i="24"/>
  <c r="F23" i="24"/>
  <c r="F12" i="24"/>
  <c r="F16" i="24"/>
  <c r="F11" i="24"/>
  <c r="F13" i="24"/>
  <c r="F21" i="24"/>
  <c r="E24" i="24"/>
  <c r="E22" i="24"/>
  <c r="E17" i="24"/>
  <c r="E18" i="24"/>
  <c r="E9" i="24"/>
  <c r="E19" i="24"/>
  <c r="E8" i="24"/>
  <c r="E10" i="24"/>
  <c r="E20" i="24"/>
  <c r="E14" i="24"/>
  <c r="E15" i="24"/>
  <c r="E6" i="24"/>
  <c r="E23" i="24"/>
  <c r="E12" i="24"/>
  <c r="E16" i="24"/>
  <c r="E11" i="24"/>
  <c r="E13" i="24"/>
  <c r="E21" i="24"/>
  <c r="D24" i="24"/>
  <c r="D22" i="24"/>
  <c r="D17" i="24"/>
  <c r="D18" i="24"/>
  <c r="D9" i="24"/>
  <c r="D19" i="24"/>
  <c r="D8" i="24"/>
  <c r="D10" i="24"/>
  <c r="D20" i="24"/>
  <c r="D14" i="24"/>
  <c r="D15" i="24"/>
  <c r="D6" i="24"/>
  <c r="D23" i="24"/>
  <c r="D12" i="24"/>
  <c r="D16" i="24"/>
  <c r="D11" i="24"/>
  <c r="D13" i="24"/>
  <c r="D21" i="24"/>
  <c r="C22" i="24"/>
  <c r="C17" i="24"/>
  <c r="C18" i="24"/>
  <c r="C9" i="24"/>
  <c r="C19" i="24"/>
  <c r="C8" i="24"/>
  <c r="C10" i="24"/>
  <c r="C20" i="24"/>
  <c r="C14" i="24"/>
  <c r="C15" i="24"/>
  <c r="C6" i="24"/>
  <c r="C23" i="24"/>
  <c r="C12" i="24"/>
  <c r="C16" i="24"/>
  <c r="C11" i="24"/>
  <c r="C13" i="24"/>
  <c r="C21" i="24"/>
  <c r="C9" i="23"/>
  <c r="N9" i="23"/>
  <c r="N12" i="23"/>
  <c r="N13" i="23"/>
  <c r="N10" i="23"/>
  <c r="N7" i="23"/>
  <c r="N25" i="23"/>
  <c r="N18" i="23"/>
  <c r="N24" i="23"/>
  <c r="N20" i="23"/>
  <c r="N19" i="23"/>
  <c r="N22" i="23"/>
  <c r="N21" i="23"/>
  <c r="N32" i="23"/>
  <c r="N11" i="23"/>
  <c r="N15" i="23"/>
  <c r="N6" i="23"/>
  <c r="N26" i="23"/>
  <c r="N14" i="23"/>
  <c r="N16" i="23"/>
  <c r="N17" i="23"/>
  <c r="N28" i="23"/>
  <c r="N30" i="23"/>
  <c r="N29" i="23"/>
  <c r="N23" i="23"/>
  <c r="N8" i="23"/>
  <c r="N31" i="23"/>
  <c r="N31" i="20"/>
  <c r="M9" i="23"/>
  <c r="M12" i="23"/>
  <c r="M13" i="23"/>
  <c r="M10" i="23"/>
  <c r="M7" i="23"/>
  <c r="M25" i="23"/>
  <c r="M18" i="23"/>
  <c r="M24" i="23"/>
  <c r="M20" i="23"/>
  <c r="M19" i="23"/>
  <c r="M21" i="23"/>
  <c r="M32" i="23"/>
  <c r="M11" i="23"/>
  <c r="M15" i="23"/>
  <c r="M6" i="23"/>
  <c r="M26" i="23"/>
  <c r="M14" i="23"/>
  <c r="M16" i="23"/>
  <c r="M17" i="23"/>
  <c r="M28" i="23"/>
  <c r="M30" i="23"/>
  <c r="M29" i="23"/>
  <c r="M23" i="23"/>
  <c r="M8" i="23"/>
  <c r="M31" i="23"/>
  <c r="M31" i="20"/>
  <c r="L9" i="23"/>
  <c r="L12" i="23"/>
  <c r="L13" i="23"/>
  <c r="L10" i="23"/>
  <c r="L7" i="23"/>
  <c r="L25" i="23"/>
  <c r="L18" i="23"/>
  <c r="L24" i="23"/>
  <c r="L20" i="23"/>
  <c r="L19" i="23"/>
  <c r="L22" i="23"/>
  <c r="L32" i="23"/>
  <c r="L11" i="23"/>
  <c r="L15" i="23"/>
  <c r="L6" i="23"/>
  <c r="L26" i="23"/>
  <c r="L14" i="23"/>
  <c r="L16" i="23"/>
  <c r="L17" i="23"/>
  <c r="L28" i="23"/>
  <c r="L30" i="23"/>
  <c r="L29" i="23"/>
  <c r="L23" i="23"/>
  <c r="L8" i="23"/>
  <c r="L31" i="23"/>
  <c r="L31" i="20"/>
  <c r="K9" i="23"/>
  <c r="K12" i="23"/>
  <c r="K13" i="23"/>
  <c r="K10" i="23"/>
  <c r="K7" i="23"/>
  <c r="K25" i="23"/>
  <c r="K18" i="23"/>
  <c r="K24" i="23"/>
  <c r="K20" i="23"/>
  <c r="K19" i="23"/>
  <c r="K22" i="23"/>
  <c r="K21" i="23"/>
  <c r="K32" i="23"/>
  <c r="K11" i="23"/>
  <c r="K15" i="23"/>
  <c r="K6" i="23"/>
  <c r="K26" i="23"/>
  <c r="K14" i="23"/>
  <c r="K16" i="23"/>
  <c r="K17" i="23"/>
  <c r="K28" i="23"/>
  <c r="K30" i="23"/>
  <c r="K29" i="23"/>
  <c r="K23" i="23"/>
  <c r="K8" i="23"/>
  <c r="K31" i="23"/>
  <c r="K31" i="20"/>
  <c r="J9" i="23"/>
  <c r="J12" i="23"/>
  <c r="J13" i="23"/>
  <c r="J10" i="23"/>
  <c r="J7" i="23"/>
  <c r="J25" i="23"/>
  <c r="J18" i="23"/>
  <c r="J24" i="23"/>
  <c r="J20" i="23"/>
  <c r="J19" i="23"/>
  <c r="J22" i="23"/>
  <c r="J21" i="23"/>
  <c r="J32" i="23"/>
  <c r="J11" i="23"/>
  <c r="J15" i="23"/>
  <c r="J6" i="23"/>
  <c r="J26" i="23"/>
  <c r="J14" i="23"/>
  <c r="J16" i="23"/>
  <c r="J17" i="23"/>
  <c r="J28" i="23"/>
  <c r="J30" i="23"/>
  <c r="J29" i="23"/>
  <c r="J23" i="23"/>
  <c r="J8" i="23"/>
  <c r="J31" i="23"/>
  <c r="J31" i="20"/>
  <c r="I9" i="23"/>
  <c r="I12" i="23"/>
  <c r="I13" i="23"/>
  <c r="I10" i="23"/>
  <c r="I7" i="23"/>
  <c r="I25" i="23"/>
  <c r="I18" i="23"/>
  <c r="I24" i="23"/>
  <c r="I20" i="23"/>
  <c r="I19" i="23"/>
  <c r="I22" i="23"/>
  <c r="I21" i="23"/>
  <c r="I32" i="23"/>
  <c r="I11" i="23"/>
  <c r="I15" i="23"/>
  <c r="I6" i="23"/>
  <c r="I26" i="23"/>
  <c r="I14" i="23"/>
  <c r="I16" i="23"/>
  <c r="I17" i="23"/>
  <c r="I28" i="23"/>
  <c r="I30" i="23"/>
  <c r="I29" i="23"/>
  <c r="I23" i="23"/>
  <c r="I8" i="23"/>
  <c r="I31" i="23"/>
  <c r="I31" i="20"/>
  <c r="H9" i="23"/>
  <c r="H12" i="23"/>
  <c r="H13" i="23"/>
  <c r="H10" i="23"/>
  <c r="H7" i="23"/>
  <c r="H25" i="23"/>
  <c r="H18" i="23"/>
  <c r="H24" i="23"/>
  <c r="H20" i="23"/>
  <c r="H19" i="23"/>
  <c r="H22" i="23"/>
  <c r="H21" i="23"/>
  <c r="H32" i="23"/>
  <c r="H11" i="23"/>
  <c r="H15" i="23"/>
  <c r="H6" i="23"/>
  <c r="H26" i="23"/>
  <c r="H14" i="23"/>
  <c r="H16" i="23"/>
  <c r="H17" i="23"/>
  <c r="H28" i="23"/>
  <c r="H30" i="23"/>
  <c r="H29" i="23"/>
  <c r="H23" i="23"/>
  <c r="H8" i="23"/>
  <c r="H31" i="23"/>
  <c r="H31" i="20"/>
  <c r="G9" i="23"/>
  <c r="G12" i="23"/>
  <c r="G13" i="23"/>
  <c r="G10" i="23"/>
  <c r="G7" i="23"/>
  <c r="G25" i="23"/>
  <c r="G18" i="23"/>
  <c r="G24" i="23"/>
  <c r="G20" i="23"/>
  <c r="G19" i="23"/>
  <c r="G22" i="23"/>
  <c r="G21" i="23"/>
  <c r="G32" i="23"/>
  <c r="G11" i="23"/>
  <c r="G15" i="23"/>
  <c r="G6" i="23"/>
  <c r="G26" i="23"/>
  <c r="G14" i="23"/>
  <c r="G16" i="23"/>
  <c r="G17" i="23"/>
  <c r="G28" i="23"/>
  <c r="G30" i="23"/>
  <c r="G29" i="23"/>
  <c r="G23" i="23"/>
  <c r="G8" i="23"/>
  <c r="G31" i="23"/>
  <c r="G31" i="20"/>
  <c r="F9" i="23"/>
  <c r="F12" i="23"/>
  <c r="F13" i="23"/>
  <c r="F10" i="23"/>
  <c r="F7" i="23"/>
  <c r="F25" i="23"/>
  <c r="F18" i="23"/>
  <c r="F24" i="23"/>
  <c r="F20" i="23"/>
  <c r="F19" i="23"/>
  <c r="F22" i="23"/>
  <c r="F21" i="23"/>
  <c r="F32" i="23"/>
  <c r="F11" i="23"/>
  <c r="F15" i="23"/>
  <c r="F6" i="23"/>
  <c r="F26" i="23"/>
  <c r="F14" i="23"/>
  <c r="F16" i="23"/>
  <c r="F17" i="23"/>
  <c r="F28" i="23"/>
  <c r="F30" i="23"/>
  <c r="F29" i="23"/>
  <c r="F23" i="23"/>
  <c r="F8" i="23"/>
  <c r="F31" i="23"/>
  <c r="F31" i="20"/>
  <c r="E9" i="23"/>
  <c r="E12" i="23"/>
  <c r="E13" i="23"/>
  <c r="E10" i="23"/>
  <c r="E7" i="23"/>
  <c r="E25" i="23"/>
  <c r="E18" i="23"/>
  <c r="E24" i="23"/>
  <c r="E20" i="23"/>
  <c r="E19" i="23"/>
  <c r="E22" i="23"/>
  <c r="E21" i="23"/>
  <c r="E32" i="23"/>
  <c r="E11" i="23"/>
  <c r="E15" i="23"/>
  <c r="E6" i="23"/>
  <c r="E26" i="23"/>
  <c r="E14" i="23"/>
  <c r="E16" i="23"/>
  <c r="E17" i="23"/>
  <c r="E28" i="23"/>
  <c r="E30" i="23"/>
  <c r="E29" i="23"/>
  <c r="E23" i="23"/>
  <c r="E8" i="23"/>
  <c r="E31" i="23"/>
  <c r="E31" i="20"/>
  <c r="D9" i="23"/>
  <c r="D12" i="23"/>
  <c r="D13" i="23"/>
  <c r="D10" i="23"/>
  <c r="D7" i="23"/>
  <c r="D25" i="23"/>
  <c r="D18" i="23"/>
  <c r="D24" i="23"/>
  <c r="D20" i="23"/>
  <c r="D19" i="23"/>
  <c r="D22" i="23"/>
  <c r="D21" i="23"/>
  <c r="D32" i="23"/>
  <c r="D11" i="23"/>
  <c r="D15" i="23"/>
  <c r="D6" i="23"/>
  <c r="D26" i="23"/>
  <c r="D14" i="23"/>
  <c r="D16" i="23"/>
  <c r="D17" i="23"/>
  <c r="D28" i="23"/>
  <c r="D30" i="23"/>
  <c r="D29" i="23"/>
  <c r="D23" i="23"/>
  <c r="D8" i="23"/>
  <c r="D31" i="23"/>
  <c r="D31" i="20"/>
  <c r="C12" i="23"/>
  <c r="C13" i="23"/>
  <c r="C10" i="23"/>
  <c r="C7" i="23"/>
  <c r="C25" i="23"/>
  <c r="C18" i="23"/>
  <c r="C24" i="23"/>
  <c r="C20" i="23"/>
  <c r="C19" i="23"/>
  <c r="C22" i="23"/>
  <c r="C21" i="23"/>
  <c r="C32" i="23"/>
  <c r="C11" i="23"/>
  <c r="C15" i="23"/>
  <c r="C6" i="23"/>
  <c r="C26" i="23"/>
  <c r="C14" i="23"/>
  <c r="C16" i="23"/>
  <c r="C17" i="23"/>
  <c r="C28" i="23"/>
  <c r="C30" i="23"/>
  <c r="C29" i="23"/>
  <c r="C23" i="23"/>
  <c r="C8" i="23"/>
  <c r="C31" i="23"/>
  <c r="N43" i="20"/>
  <c r="N6" i="20"/>
  <c r="N10" i="20"/>
  <c r="N30" i="20"/>
  <c r="N14" i="20"/>
  <c r="N25" i="20"/>
  <c r="N20" i="20"/>
  <c r="N23" i="20"/>
  <c r="N32" i="20"/>
  <c r="N33" i="20"/>
  <c r="N34" i="20"/>
  <c r="N26" i="20"/>
  <c r="N35" i="20"/>
  <c r="N47" i="20"/>
  <c r="N36" i="20"/>
  <c r="N40" i="20"/>
  <c r="N27" i="20"/>
  <c r="N22" i="20"/>
  <c r="N7" i="20"/>
  <c r="N11" i="20"/>
  <c r="N21" i="20"/>
  <c r="N48" i="20"/>
  <c r="N17" i="20"/>
  <c r="N37" i="20"/>
  <c r="N44" i="20"/>
  <c r="N41" i="20"/>
  <c r="N28" i="20"/>
  <c r="N42" i="20"/>
  <c r="N9" i="20"/>
  <c r="N13" i="20"/>
  <c r="N15" i="20"/>
  <c r="N16" i="20"/>
  <c r="N38" i="20"/>
  <c r="N19" i="20"/>
  <c r="N18" i="20"/>
  <c r="N39" i="20"/>
  <c r="N29" i="20"/>
  <c r="M43" i="20"/>
  <c r="M6" i="20"/>
  <c r="M10" i="20"/>
  <c r="M30" i="20"/>
  <c r="M14" i="20"/>
  <c r="M25" i="20"/>
  <c r="M20" i="20"/>
  <c r="M23" i="20"/>
  <c r="M32" i="20"/>
  <c r="M33" i="20"/>
  <c r="M34" i="20"/>
  <c r="M26" i="20"/>
  <c r="M35" i="20"/>
  <c r="M47" i="20"/>
  <c r="M36" i="20"/>
  <c r="M40" i="20"/>
  <c r="M27" i="20"/>
  <c r="M22" i="20"/>
  <c r="M7" i="20"/>
  <c r="M11" i="20"/>
  <c r="M21" i="20"/>
  <c r="M48" i="20"/>
  <c r="M17" i="20"/>
  <c r="M37" i="20"/>
  <c r="M44" i="20"/>
  <c r="M41" i="20"/>
  <c r="M28" i="20"/>
  <c r="M42" i="20"/>
  <c r="M9" i="20"/>
  <c r="M13" i="20"/>
  <c r="M15" i="20"/>
  <c r="M16" i="20"/>
  <c r="M38" i="20"/>
  <c r="M19" i="20"/>
  <c r="M18" i="20"/>
  <c r="M39" i="20"/>
  <c r="M29" i="20"/>
  <c r="L43" i="20"/>
  <c r="L6" i="20"/>
  <c r="L10" i="20"/>
  <c r="L30" i="20"/>
  <c r="L25" i="20"/>
  <c r="L20" i="20"/>
  <c r="L23" i="20"/>
  <c r="L32" i="20"/>
  <c r="L33" i="20"/>
  <c r="L34" i="20"/>
  <c r="L26" i="20"/>
  <c r="L35" i="20"/>
  <c r="L47" i="20"/>
  <c r="L36" i="20"/>
  <c r="L40" i="20"/>
  <c r="L27" i="20"/>
  <c r="L22" i="20"/>
  <c r="L7" i="20"/>
  <c r="L11" i="20"/>
  <c r="L21" i="20"/>
  <c r="L48" i="20"/>
  <c r="L17" i="20"/>
  <c r="L37" i="20"/>
  <c r="L44" i="20"/>
  <c r="L41" i="20"/>
  <c r="L28" i="20"/>
  <c r="L42" i="20"/>
  <c r="L9" i="20"/>
  <c r="L13" i="20"/>
  <c r="L15" i="20"/>
  <c r="L16" i="20"/>
  <c r="L38" i="20"/>
  <c r="L19" i="20"/>
  <c r="L18" i="20"/>
  <c r="L39" i="20"/>
  <c r="L29" i="20"/>
  <c r="K43" i="20"/>
  <c r="K6" i="20"/>
  <c r="K10" i="20"/>
  <c r="K30" i="20"/>
  <c r="K25" i="20"/>
  <c r="K20" i="20"/>
  <c r="K23" i="20"/>
  <c r="K32" i="20"/>
  <c r="K33" i="20"/>
  <c r="K34" i="20"/>
  <c r="K26" i="20"/>
  <c r="K35" i="20"/>
  <c r="K47" i="20"/>
  <c r="K36" i="20"/>
  <c r="K40" i="20"/>
  <c r="K27" i="20"/>
  <c r="K22" i="20"/>
  <c r="K7" i="20"/>
  <c r="K11" i="20"/>
  <c r="K21" i="20"/>
  <c r="K48" i="20"/>
  <c r="K17" i="20"/>
  <c r="K37" i="20"/>
  <c r="K44" i="20"/>
  <c r="K41" i="20"/>
  <c r="K28" i="20"/>
  <c r="K42" i="20"/>
  <c r="K9" i="20"/>
  <c r="K13" i="20"/>
  <c r="K15" i="20"/>
  <c r="K16" i="20"/>
  <c r="K38" i="20"/>
  <c r="K19" i="20"/>
  <c r="K18" i="20"/>
  <c r="K39" i="20"/>
  <c r="K29" i="20"/>
  <c r="J43" i="20"/>
  <c r="J6" i="20"/>
  <c r="J10" i="20"/>
  <c r="J30" i="20"/>
  <c r="J25" i="20"/>
  <c r="J20" i="20"/>
  <c r="J23" i="20"/>
  <c r="J32" i="20"/>
  <c r="J33" i="20"/>
  <c r="J34" i="20"/>
  <c r="J26" i="20"/>
  <c r="J35" i="20"/>
  <c r="J47" i="20"/>
  <c r="J36" i="20"/>
  <c r="J40" i="20"/>
  <c r="J27" i="20"/>
  <c r="J22" i="20"/>
  <c r="J7" i="20"/>
  <c r="J11" i="20"/>
  <c r="J21" i="20"/>
  <c r="J48" i="20"/>
  <c r="J17" i="20"/>
  <c r="J37" i="20"/>
  <c r="J44" i="20"/>
  <c r="J41" i="20"/>
  <c r="J28" i="20"/>
  <c r="J42" i="20"/>
  <c r="J9" i="20"/>
  <c r="J13" i="20"/>
  <c r="J15" i="20"/>
  <c r="J16" i="20"/>
  <c r="J38" i="20"/>
  <c r="J19" i="20"/>
  <c r="J18" i="20"/>
  <c r="J39" i="20"/>
  <c r="J29" i="20"/>
  <c r="I43" i="20"/>
  <c r="I6" i="20"/>
  <c r="I10" i="20"/>
  <c r="I30" i="20"/>
  <c r="I14" i="20"/>
  <c r="I25" i="20"/>
  <c r="I20" i="20"/>
  <c r="I23" i="20"/>
  <c r="I32" i="20"/>
  <c r="I33" i="20"/>
  <c r="I34" i="20"/>
  <c r="I26" i="20"/>
  <c r="I35" i="20"/>
  <c r="I47" i="20"/>
  <c r="I36" i="20"/>
  <c r="I40" i="20"/>
  <c r="I27" i="20"/>
  <c r="I22" i="20"/>
  <c r="I7" i="20"/>
  <c r="I11" i="20"/>
  <c r="I21" i="20"/>
  <c r="I48" i="20"/>
  <c r="I17" i="20"/>
  <c r="I37" i="20"/>
  <c r="I44" i="20"/>
  <c r="I41" i="20"/>
  <c r="I28" i="20"/>
  <c r="I42" i="20"/>
  <c r="I9" i="20"/>
  <c r="I13" i="20"/>
  <c r="I15" i="20"/>
  <c r="I16" i="20"/>
  <c r="I38" i="20"/>
  <c r="I19" i="20"/>
  <c r="I18" i="20"/>
  <c r="I39" i="20"/>
  <c r="I29" i="20"/>
  <c r="H43" i="20"/>
  <c r="H6" i="20"/>
  <c r="H10" i="20"/>
  <c r="H30" i="20"/>
  <c r="H14" i="20"/>
  <c r="H25" i="20"/>
  <c r="H20" i="20"/>
  <c r="H23" i="20"/>
  <c r="H32" i="20"/>
  <c r="H33" i="20"/>
  <c r="H34" i="20"/>
  <c r="H26" i="20"/>
  <c r="H35" i="20"/>
  <c r="H47" i="20"/>
  <c r="H36" i="20"/>
  <c r="H40" i="20"/>
  <c r="H27" i="20"/>
  <c r="H22" i="20"/>
  <c r="H7" i="20"/>
  <c r="H11" i="20"/>
  <c r="H21" i="20"/>
  <c r="H48" i="20"/>
  <c r="H17" i="20"/>
  <c r="H37" i="20"/>
  <c r="H44" i="20"/>
  <c r="H41" i="20"/>
  <c r="H28" i="20"/>
  <c r="H42" i="20"/>
  <c r="H9" i="20"/>
  <c r="H13" i="20"/>
  <c r="H15" i="20"/>
  <c r="H16" i="20"/>
  <c r="H38" i="20"/>
  <c r="H19" i="20"/>
  <c r="H18" i="20"/>
  <c r="H39" i="20"/>
  <c r="H29" i="20"/>
  <c r="G43" i="20"/>
  <c r="G6" i="20"/>
  <c r="G10" i="20"/>
  <c r="G30" i="20"/>
  <c r="G14" i="20"/>
  <c r="G25" i="20"/>
  <c r="G20" i="20"/>
  <c r="G23" i="20"/>
  <c r="G32" i="20"/>
  <c r="G33" i="20"/>
  <c r="G34" i="20"/>
  <c r="G26" i="20"/>
  <c r="G35" i="20"/>
  <c r="G47" i="20"/>
  <c r="G36" i="20"/>
  <c r="G40" i="20"/>
  <c r="G27" i="20"/>
  <c r="G22" i="20"/>
  <c r="G7" i="20"/>
  <c r="G11" i="20"/>
  <c r="G21" i="20"/>
  <c r="G48" i="20"/>
  <c r="G17" i="20"/>
  <c r="G37" i="20"/>
  <c r="G44" i="20"/>
  <c r="G41" i="20"/>
  <c r="G28" i="20"/>
  <c r="G42" i="20"/>
  <c r="G9" i="20"/>
  <c r="G13" i="20"/>
  <c r="G15" i="20"/>
  <c r="G16" i="20"/>
  <c r="G38" i="20"/>
  <c r="G19" i="20"/>
  <c r="G18" i="20"/>
  <c r="G39" i="20"/>
  <c r="G29" i="20"/>
  <c r="F43" i="20"/>
  <c r="F6" i="20"/>
  <c r="F10" i="20"/>
  <c r="F30" i="20"/>
  <c r="F14" i="20"/>
  <c r="F25" i="20"/>
  <c r="F20" i="20"/>
  <c r="F23" i="20"/>
  <c r="F32" i="20"/>
  <c r="F33" i="20"/>
  <c r="F34" i="20"/>
  <c r="F26" i="20"/>
  <c r="F35" i="20"/>
  <c r="F47" i="20"/>
  <c r="F36" i="20"/>
  <c r="F40" i="20"/>
  <c r="F27" i="20"/>
  <c r="F22" i="20"/>
  <c r="F7" i="20"/>
  <c r="F11" i="20"/>
  <c r="F21" i="20"/>
  <c r="F48" i="20"/>
  <c r="F17" i="20"/>
  <c r="F37" i="20"/>
  <c r="F44" i="20"/>
  <c r="F41" i="20"/>
  <c r="F28" i="20"/>
  <c r="F42" i="20"/>
  <c r="F9" i="20"/>
  <c r="F13" i="20"/>
  <c r="F15" i="20"/>
  <c r="F16" i="20"/>
  <c r="F38" i="20"/>
  <c r="F19" i="20"/>
  <c r="F18" i="20"/>
  <c r="F39" i="20"/>
  <c r="F29" i="20"/>
  <c r="E43" i="20"/>
  <c r="E6" i="20"/>
  <c r="E10" i="20"/>
  <c r="E30" i="20"/>
  <c r="E14" i="20"/>
  <c r="E25" i="20"/>
  <c r="E20" i="20"/>
  <c r="E23" i="20"/>
  <c r="E32" i="20"/>
  <c r="E33" i="20"/>
  <c r="E34" i="20"/>
  <c r="E26" i="20"/>
  <c r="E35" i="20"/>
  <c r="E47" i="20"/>
  <c r="E36" i="20"/>
  <c r="E40" i="20"/>
  <c r="E27" i="20"/>
  <c r="E22" i="20"/>
  <c r="E7" i="20"/>
  <c r="E11" i="20"/>
  <c r="E21" i="20"/>
  <c r="E48" i="20"/>
  <c r="E17" i="20"/>
  <c r="E37" i="20"/>
  <c r="E44" i="20"/>
  <c r="E41" i="20"/>
  <c r="E28" i="20"/>
  <c r="E42" i="20"/>
  <c r="E9" i="20"/>
  <c r="E13" i="20"/>
  <c r="E15" i="20"/>
  <c r="E16" i="20"/>
  <c r="E38" i="20"/>
  <c r="E19" i="20"/>
  <c r="E18" i="20"/>
  <c r="E39" i="20"/>
  <c r="E29" i="20"/>
  <c r="M17" i="19"/>
  <c r="M7" i="19"/>
  <c r="M14" i="19"/>
  <c r="M41" i="19"/>
  <c r="M48" i="19"/>
  <c r="M47" i="19"/>
  <c r="M49" i="19"/>
  <c r="M15" i="19"/>
  <c r="M18" i="19"/>
  <c r="M19" i="19"/>
  <c r="M20" i="19"/>
  <c r="M12" i="19"/>
  <c r="M10" i="19"/>
  <c r="M13" i="19"/>
  <c r="M22" i="19"/>
  <c r="M23" i="19"/>
  <c r="M46" i="19"/>
  <c r="M24" i="19"/>
  <c r="M34" i="19"/>
  <c r="M38" i="19"/>
  <c r="M40" i="19"/>
  <c r="M8" i="19"/>
  <c r="M21" i="19"/>
  <c r="M37" i="19"/>
  <c r="M39" i="19"/>
  <c r="M9" i="19"/>
  <c r="M6" i="19"/>
  <c r="M11" i="19"/>
  <c r="M42" i="19"/>
  <c r="M43" i="19"/>
  <c r="M26" i="19"/>
  <c r="M45" i="19"/>
  <c r="M16" i="19"/>
  <c r="M25" i="19"/>
  <c r="M44" i="19"/>
  <c r="M27" i="19"/>
  <c r="M30" i="19"/>
  <c r="L17" i="19"/>
  <c r="L7" i="19"/>
  <c r="L14" i="19"/>
  <c r="L41" i="19"/>
  <c r="L48" i="19"/>
  <c r="L47" i="19"/>
  <c r="L49" i="19"/>
  <c r="L15" i="19"/>
  <c r="L18" i="19"/>
  <c r="L19" i="19"/>
  <c r="L20" i="19"/>
  <c r="L12" i="19"/>
  <c r="L10" i="19"/>
  <c r="L13" i="19"/>
  <c r="L22" i="19"/>
  <c r="L23" i="19"/>
  <c r="L46" i="19"/>
  <c r="L24" i="19"/>
  <c r="L34" i="19"/>
  <c r="L38" i="19"/>
  <c r="L40" i="19"/>
  <c r="L8" i="19"/>
  <c r="L33" i="19"/>
  <c r="L31" i="19"/>
  <c r="L35" i="19"/>
  <c r="L21" i="19"/>
  <c r="L32" i="19"/>
  <c r="L36" i="19"/>
  <c r="L37" i="19"/>
  <c r="L39" i="19"/>
  <c r="L9" i="19"/>
  <c r="L6" i="19"/>
  <c r="L26" i="19"/>
  <c r="L25" i="19"/>
  <c r="L27" i="19"/>
  <c r="L28" i="19"/>
  <c r="L29" i="19"/>
  <c r="L30" i="19"/>
  <c r="I17" i="19"/>
  <c r="I7" i="19"/>
  <c r="I14" i="19"/>
  <c r="I41" i="19"/>
  <c r="I48" i="19"/>
  <c r="I47" i="19"/>
  <c r="I49" i="19"/>
  <c r="I15" i="19"/>
  <c r="I18" i="19"/>
  <c r="I19" i="19"/>
  <c r="I20" i="19"/>
  <c r="I12" i="19"/>
  <c r="I10" i="19"/>
  <c r="I13" i="19"/>
  <c r="I22" i="19"/>
  <c r="I23" i="19"/>
  <c r="I46" i="19"/>
  <c r="I24" i="19"/>
  <c r="I34" i="19"/>
  <c r="I38" i="19"/>
  <c r="I40" i="19"/>
  <c r="I8" i="19"/>
  <c r="I33" i="19"/>
  <c r="I31" i="19"/>
  <c r="I35" i="19"/>
  <c r="I21" i="19"/>
  <c r="I32" i="19"/>
  <c r="I36" i="19"/>
  <c r="I37" i="19"/>
  <c r="I39" i="19"/>
  <c r="I9" i="19"/>
  <c r="I6" i="19"/>
  <c r="I11" i="19"/>
  <c r="I42" i="19"/>
  <c r="I43" i="19"/>
  <c r="I26" i="19"/>
  <c r="I45" i="19"/>
  <c r="I16" i="19"/>
  <c r="I25" i="19"/>
  <c r="I44" i="19"/>
  <c r="I27" i="19"/>
  <c r="I28" i="19"/>
  <c r="I29" i="19"/>
  <c r="I30" i="19"/>
  <c r="G17" i="19"/>
  <c r="G7" i="19"/>
  <c r="G14" i="19"/>
  <c r="G41" i="19"/>
  <c r="G48" i="19"/>
  <c r="G47" i="19"/>
  <c r="G49" i="19"/>
  <c r="G15" i="19"/>
  <c r="G18" i="19"/>
  <c r="G19" i="19"/>
  <c r="G20" i="19"/>
  <c r="G12" i="19"/>
  <c r="G10" i="19"/>
  <c r="G13" i="19"/>
  <c r="G22" i="19"/>
  <c r="G23" i="19"/>
  <c r="G46" i="19"/>
  <c r="G24" i="19"/>
  <c r="G34" i="19"/>
  <c r="G38" i="19"/>
  <c r="G40" i="19"/>
  <c r="G8" i="19"/>
  <c r="G33" i="19"/>
  <c r="G31" i="19"/>
  <c r="G35" i="19"/>
  <c r="G21" i="19"/>
  <c r="G32" i="19"/>
  <c r="G36" i="19"/>
  <c r="G37" i="19"/>
  <c r="G39" i="19"/>
  <c r="G9" i="19"/>
  <c r="G6" i="19"/>
  <c r="G11" i="19"/>
  <c r="G42" i="19"/>
  <c r="G43" i="19"/>
  <c r="G26" i="19"/>
  <c r="G16" i="19"/>
  <c r="G25" i="19"/>
  <c r="G44" i="19"/>
  <c r="G27" i="19"/>
  <c r="G28" i="19"/>
  <c r="G29" i="19"/>
  <c r="G30" i="19"/>
  <c r="F17" i="19"/>
  <c r="F7" i="19"/>
  <c r="F14" i="19"/>
  <c r="F41" i="19"/>
  <c r="F48" i="19"/>
  <c r="F47" i="19"/>
  <c r="F49" i="19"/>
  <c r="F15" i="19"/>
  <c r="F18" i="19"/>
  <c r="F19" i="19"/>
  <c r="F20" i="19"/>
  <c r="F12" i="19"/>
  <c r="F10" i="19"/>
  <c r="F13" i="19"/>
  <c r="F22" i="19"/>
  <c r="F23" i="19"/>
  <c r="F46" i="19"/>
  <c r="F24" i="19"/>
  <c r="F34" i="19"/>
  <c r="F38" i="19"/>
  <c r="F40" i="19"/>
  <c r="F8" i="19"/>
  <c r="F33" i="19"/>
  <c r="F31" i="19"/>
  <c r="F35" i="19"/>
  <c r="F21" i="19"/>
  <c r="F32" i="19"/>
  <c r="F36" i="19"/>
  <c r="F37" i="19"/>
  <c r="F39" i="19"/>
  <c r="F9" i="19"/>
  <c r="F6" i="19"/>
  <c r="F11" i="19"/>
  <c r="F42" i="19"/>
  <c r="F43" i="19"/>
  <c r="F26" i="19"/>
  <c r="F45" i="19"/>
  <c r="F16" i="19"/>
  <c r="F25" i="19"/>
  <c r="F44" i="19"/>
  <c r="F27" i="19"/>
  <c r="F28" i="19"/>
  <c r="F29" i="19"/>
  <c r="F30" i="19"/>
  <c r="E17" i="19"/>
  <c r="D43" i="20"/>
  <c r="D6" i="20"/>
  <c r="D10" i="20"/>
  <c r="D30" i="20"/>
  <c r="D14" i="20"/>
  <c r="D25" i="20"/>
  <c r="D20" i="20"/>
  <c r="D23" i="20"/>
  <c r="D32" i="20"/>
  <c r="D33" i="20"/>
  <c r="D34" i="20"/>
  <c r="D26" i="20"/>
  <c r="D35" i="20"/>
  <c r="D47" i="20"/>
  <c r="D36" i="20"/>
  <c r="D40" i="20"/>
  <c r="D27" i="20"/>
  <c r="D22" i="20"/>
  <c r="D7" i="20"/>
  <c r="D11" i="20"/>
  <c r="D21" i="20"/>
  <c r="D48" i="20"/>
  <c r="D17" i="20"/>
  <c r="D37" i="20"/>
  <c r="D44" i="20"/>
  <c r="D41" i="20"/>
  <c r="D28" i="20"/>
  <c r="D42" i="20"/>
  <c r="D9" i="20"/>
  <c r="D13" i="20"/>
  <c r="D15" i="20"/>
  <c r="D16" i="20"/>
  <c r="D38" i="20"/>
  <c r="D19" i="20"/>
  <c r="D18" i="20"/>
  <c r="D39" i="20"/>
  <c r="D29" i="20"/>
  <c r="C43" i="20"/>
  <c r="C6" i="20"/>
  <c r="C10" i="20"/>
  <c r="C30" i="20"/>
  <c r="C14" i="20"/>
  <c r="C25" i="20"/>
  <c r="C20" i="20"/>
  <c r="C23" i="20"/>
  <c r="C32" i="20"/>
  <c r="C33" i="20"/>
  <c r="C34" i="20"/>
  <c r="C26" i="20"/>
  <c r="C35" i="20"/>
  <c r="C47" i="20"/>
  <c r="C36" i="20"/>
  <c r="C40" i="20"/>
  <c r="C27" i="20"/>
  <c r="C22" i="20"/>
  <c r="C7" i="20"/>
  <c r="C11" i="20"/>
  <c r="C21" i="20"/>
  <c r="C48" i="20"/>
  <c r="C17" i="20"/>
  <c r="C37" i="20"/>
  <c r="C44" i="20"/>
  <c r="C41" i="20"/>
  <c r="C28" i="20"/>
  <c r="C42" i="20"/>
  <c r="C9" i="20"/>
  <c r="C13" i="20"/>
  <c r="C15" i="20"/>
  <c r="C16" i="20"/>
  <c r="C38" i="20"/>
  <c r="C19" i="20"/>
  <c r="C18" i="20"/>
  <c r="C39" i="20"/>
  <c r="C29" i="20"/>
  <c r="E7" i="19"/>
  <c r="E14" i="19"/>
  <c r="E41" i="19"/>
  <c r="E48" i="19"/>
  <c r="E47" i="19"/>
  <c r="E49" i="19"/>
  <c r="E15" i="19"/>
  <c r="E18" i="19"/>
  <c r="E19" i="19"/>
  <c r="E20" i="19"/>
  <c r="E12" i="19"/>
  <c r="E10" i="19"/>
  <c r="E13" i="19"/>
  <c r="E22" i="19"/>
  <c r="E23" i="19"/>
  <c r="E46" i="19"/>
  <c r="E24" i="19"/>
  <c r="E34" i="19"/>
  <c r="E38" i="19"/>
  <c r="E40" i="19"/>
  <c r="E8" i="19"/>
  <c r="E33" i="19"/>
  <c r="E31" i="19"/>
  <c r="E35" i="19"/>
  <c r="E21" i="19"/>
  <c r="E32" i="19"/>
  <c r="E36" i="19"/>
  <c r="E37" i="19"/>
  <c r="E39" i="19"/>
  <c r="E9" i="19"/>
  <c r="E6" i="19"/>
  <c r="E11" i="19"/>
  <c r="E42" i="19"/>
  <c r="E43" i="19"/>
  <c r="E26" i="19"/>
  <c r="E45" i="19"/>
  <c r="E16" i="19"/>
  <c r="E25" i="19"/>
  <c r="E44" i="19"/>
  <c r="E27" i="19"/>
  <c r="E28" i="19"/>
  <c r="E29" i="19"/>
  <c r="E30" i="19"/>
  <c r="D17" i="19"/>
  <c r="D7" i="19"/>
  <c r="D14" i="19"/>
  <c r="D41" i="19"/>
  <c r="D48" i="19"/>
  <c r="D47" i="19"/>
  <c r="D49" i="19"/>
  <c r="D15" i="19"/>
  <c r="D18" i="19"/>
  <c r="D19" i="19"/>
  <c r="D20" i="19"/>
  <c r="D12" i="19"/>
  <c r="D10" i="19"/>
  <c r="D13" i="19"/>
  <c r="D22" i="19"/>
  <c r="D23" i="19"/>
  <c r="D46" i="19"/>
  <c r="D24" i="19"/>
  <c r="D34" i="19"/>
  <c r="D38" i="19"/>
  <c r="D40" i="19"/>
  <c r="D8" i="19"/>
  <c r="D33" i="19"/>
  <c r="D31" i="19"/>
  <c r="D35" i="19"/>
  <c r="D21" i="19"/>
  <c r="D32" i="19"/>
  <c r="D36" i="19"/>
  <c r="D37" i="19"/>
  <c r="D39" i="19"/>
  <c r="D9" i="19"/>
  <c r="D6" i="19"/>
  <c r="D11" i="19"/>
  <c r="D42" i="19"/>
  <c r="D43" i="19"/>
  <c r="D26" i="19"/>
  <c r="D45" i="19"/>
  <c r="D16" i="19"/>
  <c r="D25" i="19"/>
  <c r="D44" i="19"/>
  <c r="D27" i="19"/>
  <c r="D28" i="19"/>
  <c r="D29" i="19"/>
  <c r="D30" i="19"/>
  <c r="C7" i="19"/>
  <c r="C14" i="19"/>
  <c r="C41" i="19"/>
  <c r="C48" i="19"/>
  <c r="C47" i="19"/>
  <c r="C49" i="19"/>
  <c r="C15" i="19"/>
  <c r="C18" i="19"/>
  <c r="C19" i="19"/>
  <c r="C20" i="19"/>
  <c r="C12" i="19"/>
  <c r="C10" i="19"/>
  <c r="C13" i="19"/>
  <c r="C22" i="19"/>
  <c r="C23" i="19"/>
  <c r="C46" i="19"/>
  <c r="C24" i="19"/>
  <c r="C34" i="19"/>
  <c r="C38" i="19"/>
  <c r="C40" i="19"/>
  <c r="C8" i="19"/>
  <c r="C33" i="19"/>
  <c r="C31" i="19"/>
  <c r="C35" i="19"/>
  <c r="C21" i="19"/>
  <c r="C32" i="19"/>
  <c r="C36" i="19"/>
  <c r="C37" i="19"/>
  <c r="C39" i="19"/>
  <c r="C9" i="19"/>
  <c r="C6" i="19"/>
  <c r="C11" i="19"/>
  <c r="C42" i="19"/>
  <c r="C43" i="19"/>
  <c r="C26" i="19"/>
  <c r="C45" i="19"/>
  <c r="C16" i="19"/>
  <c r="C25" i="19"/>
  <c r="C44" i="19"/>
  <c r="C27" i="19"/>
  <c r="C28" i="19"/>
  <c r="C29" i="19"/>
  <c r="C30" i="19"/>
</calcChain>
</file>

<file path=xl/comments1.xml><?xml version="1.0" encoding="utf-8"?>
<comments xmlns="http://schemas.openxmlformats.org/spreadsheetml/2006/main">
  <authors>
    <author>tc={3637A49F-0FA8-4DB4-9799-3FB713A17B4E}</author>
  </authors>
  <commentList>
    <comment ref="M216"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à modifier</t>
        </r>
      </text>
    </comment>
  </commentList>
</comments>
</file>

<file path=xl/sharedStrings.xml><?xml version="1.0" encoding="utf-8"?>
<sst xmlns="http://schemas.openxmlformats.org/spreadsheetml/2006/main" count="4206" uniqueCount="1245">
  <si>
    <t>Mise en lumière de l’offre de prise en charge des conduites addictives en Bourgogne Franche-Comté</t>
  </si>
  <si>
    <t>Présentation du répertoire</t>
  </si>
  <si>
    <r>
      <t xml:space="preserve">
Bienvenue dans le répertoire des opérateurs de la région Bourgogne Franche-Comté spécialisés dans la prise en charge des 
conduites addictives.
Ce document mis en place par l'Agence Régionale de Santé de Bourgogne Franche-Comté et développé par le cabinet Eneis by KPMG contient toutes les informations sur l'offre du territoire. 
Afin de trouver rapidement une structure, vous pouvez cliquer sur les critères ci-dessous qui vous guideront vers la liste des établissements recherchés. 
</t>
    </r>
    <r>
      <rPr>
        <b/>
        <sz val="14"/>
        <color theme="1"/>
        <rFont val="Calibri"/>
        <family val="2"/>
        <scheme val="minor"/>
      </rPr>
      <t>Cliquez sur le type de structure recherchée :</t>
    </r>
  </si>
  <si>
    <t xml:space="preserve">Légende du répertoire : </t>
  </si>
  <si>
    <t>CSAPA/Antenne de CSAPA/Consultations avancées</t>
  </si>
  <si>
    <t>CAARUD</t>
  </si>
  <si>
    <t>CJC (Consultations Jeunes Consommateurs)</t>
  </si>
  <si>
    <t>Consultations Hospitalières externes d'addictologie</t>
  </si>
  <si>
    <t>Equipe de Liaison et de Soins en Addictologie</t>
  </si>
  <si>
    <t>Sevrage simple</t>
  </si>
  <si>
    <t xml:space="preserve">Soins complexes </t>
  </si>
  <si>
    <t>Unité d'hospitalisation de jour</t>
  </si>
  <si>
    <t>Unité sanitaire en milieu pénitentiaire</t>
  </si>
  <si>
    <t>SMRA (Soins Médicaux de Réadaptation en Addictologie)</t>
  </si>
  <si>
    <t>Structures accessibles sur accès direct</t>
  </si>
  <si>
    <t>Pour consulter les structures par département, cliquer sur les icones ci-contre.</t>
  </si>
  <si>
    <t>Toutes les structures de la région, accessibles sur orientation d'un professionnel de santé</t>
  </si>
  <si>
    <t>Département</t>
  </si>
  <si>
    <t>Commune d'implantation de la structure</t>
  </si>
  <si>
    <t>Code postal</t>
  </si>
  <si>
    <t>Adresse</t>
  </si>
  <si>
    <t>Type de structure</t>
  </si>
  <si>
    <t>Nom de la structure</t>
  </si>
  <si>
    <t>Statut de la structure</t>
  </si>
  <si>
    <t>Mail</t>
  </si>
  <si>
    <t>Numéro de téléphone</t>
  </si>
  <si>
    <t>Site internet</t>
  </si>
  <si>
    <t>Jours et horaires</t>
  </si>
  <si>
    <t>Informations complémentaires</t>
  </si>
  <si>
    <t>Saône-et-Loire (71)</t>
  </si>
  <si>
    <t>Autun</t>
  </si>
  <si>
    <t>15 rue deguin</t>
  </si>
  <si>
    <t>Antenne CSAPA</t>
  </si>
  <si>
    <t>Addictions France 71</t>
  </si>
  <si>
    <t>Associatif</t>
  </si>
  <si>
    <t>csapa.autun@addictions-france.org</t>
  </si>
  <si>
    <t>0385521490</t>
  </si>
  <si>
    <t>Le Creusot</t>
  </si>
  <si>
    <t>12 rue Pierre et Marie Curie</t>
  </si>
  <si>
    <t>csapa.lecreusot@addictions-france.org</t>
  </si>
  <si>
    <t>0385551121</t>
  </si>
  <si>
    <t>Montceau-Les-Mines</t>
  </si>
  <si>
    <t>23 rue de Chalon</t>
  </si>
  <si>
    <t>csapa.montceau@addictions-france.org</t>
  </si>
  <si>
    <t>0385578533</t>
  </si>
  <si>
    <t>Du lundi au vendredi de 09:00 - 12:00 et de 14:00 - 17:00</t>
  </si>
  <si>
    <t>Paray Le Monial</t>
  </si>
  <si>
    <t>15 A Quai de l'Industrie Quai Sud</t>
  </si>
  <si>
    <t>0385810906</t>
  </si>
  <si>
    <t>Côte-d’Or (21)</t>
  </si>
  <si>
    <t>Châtillon-Sur-Seine</t>
  </si>
  <si>
    <t>Association Addictions France 21</t>
  </si>
  <si>
    <t>csapa.chatillon@addictions-france.org</t>
  </si>
  <si>
    <t>Saulieu</t>
  </si>
  <si>
    <t>2 rue Courtépée</t>
  </si>
  <si>
    <t>csapa.dijon@addictions-france.org</t>
  </si>
  <si>
    <t>03 80 73 26 32</t>
  </si>
  <si>
    <t>Haute-Saône (70)</t>
  </si>
  <si>
    <t>Gray</t>
  </si>
  <si>
    <t>Centre hospitalier - 5, rue de l'Arsenal</t>
  </si>
  <si>
    <t>Association Addictions France en Haute-Saône</t>
  </si>
  <si>
    <t>cspsa.gray@addictions-france.org</t>
  </si>
  <si>
    <t>03-84-64-64-62</t>
  </si>
  <si>
    <t>Réalisation de consultations avancées</t>
  </si>
  <si>
    <t>Luxeuil-Les-Bains</t>
  </si>
  <si>
    <t>Groupe Hospitalier - 2, rue Grammont</t>
  </si>
  <si>
    <t>csapa.vesoul@addicitions-france.org</t>
  </si>
  <si>
    <t>03-84-76-75-75</t>
  </si>
  <si>
    <t>Mardi 9h-12h30/13h30-17h - Mercredi 9h-12h30 - Jeudi 9h-12h - Vendredi 9h-12h30/13h-16h30</t>
  </si>
  <si>
    <t>Yonne (89)</t>
  </si>
  <si>
    <t>Sens</t>
  </si>
  <si>
    <t>43 rue du 19 mars 1962</t>
  </si>
  <si>
    <t>CSAPA - Association Addictions France</t>
  </si>
  <si>
    <t>csapa.sens@addictions-france.org</t>
  </si>
  <si>
    <t>03.86.95.10.71</t>
  </si>
  <si>
    <t>Lundi 9h-13h / 14h-17h Mardi 9h-13h / 14h-18h Mercredi 9h-13h / 13h30-17h Jeudi 9h-13h / 14h-19h Vendredi 9h-13h / 14h-17h</t>
  </si>
  <si>
    <t>Nièvre (58)</t>
  </si>
  <si>
    <t>Tannay</t>
  </si>
  <si>
    <t>58000</t>
  </si>
  <si>
    <t>8 Place Charles Chaigneau</t>
  </si>
  <si>
    <t>bfc58@addictions-france.org</t>
  </si>
  <si>
    <t>03 86 61 56 89</t>
  </si>
  <si>
    <t>Mardi, Jeudi, Vendredi : 8h30 – 12h30 / 13h30 – 17h</t>
  </si>
  <si>
    <t>Jura (39)</t>
  </si>
  <si>
    <t>Arbois</t>
  </si>
  <si>
    <t>23 rue de l'hôpital</t>
  </si>
  <si>
    <t>CSAPA de l'ADLCA</t>
  </si>
  <si>
    <t>arbois@csapa-adlca.fr</t>
  </si>
  <si>
    <t>0384252612</t>
  </si>
  <si>
    <t>lundi au vendredi, 9h-17h30</t>
  </si>
  <si>
    <t>Champagnole</t>
  </si>
  <si>
    <t>Cité javel, rue Casimir Blondeau</t>
  </si>
  <si>
    <t>champagnole@csapa-adlca.fr</t>
  </si>
  <si>
    <t>0970501350</t>
  </si>
  <si>
    <t>Louhans</t>
  </si>
  <si>
    <t>71100</t>
  </si>
  <si>
    <t>1 rue du Gruay</t>
  </si>
  <si>
    <t>CSAPA KAIRN71 - SAUVEGARDE71</t>
  </si>
  <si>
    <t>kairn71@sauvegarde71.fr</t>
  </si>
  <si>
    <t>0385909060</t>
  </si>
  <si>
    <t>lundi = 10h-13h / mardi = 10h-13h 13h30-17h / mercredi = 10h-13h 13h30-17h / jeudi = 10h-12h30 13h30-18h / vendredi = 10h-12h</t>
  </si>
  <si>
    <t>Doubs (25)</t>
  </si>
  <si>
    <t>Maiche</t>
  </si>
  <si>
    <t>25200</t>
  </si>
  <si>
    <t>23 rue Montalembert</t>
  </si>
  <si>
    <t>maiche.addictologie@gmail.com</t>
  </si>
  <si>
    <t>www.ahs-fc.fr</t>
  </si>
  <si>
    <t>jeudi et vendredi de 10h à 17h</t>
  </si>
  <si>
    <t>Territoire de Belfort (90)</t>
  </si>
  <si>
    <t>Belfort</t>
  </si>
  <si>
    <t>pole-addiction.nfc@ahs-fc.fr</t>
  </si>
  <si>
    <t>Héricourt</t>
  </si>
  <si>
    <t>25 avenue Léon Jouhaux, BP 6</t>
  </si>
  <si>
    <t>03 84 36 67 07</t>
  </si>
  <si>
    <t>Lundi au jeudi de 9h à 16h 
Vendredi : 9h-13h30 et 14h30-16h</t>
  </si>
  <si>
    <t>Saint-Claude</t>
  </si>
  <si>
    <t>45 rue due Collège</t>
  </si>
  <si>
    <t>CSAPA Oppelia Passerelle 39</t>
  </si>
  <si>
    <t>contactp39@oppelia.fr</t>
  </si>
  <si>
    <t>03 84 24 66 83</t>
  </si>
  <si>
    <t>Is-Sur-Tille</t>
  </si>
  <si>
    <t>20, place Général Leclerc</t>
  </si>
  <si>
    <t>CSAPA Tivoli, Caarud le Spot - SEDAP</t>
  </si>
  <si>
    <t>seine-tilles@addictions-sedap.fr</t>
  </si>
  <si>
    <t>Les lundis, mercredis 9h-12/14h-18 et vendredis 14h-18h</t>
  </si>
  <si>
    <t>Montbard</t>
  </si>
  <si>
    <t>12 Av. Mal de Lattre de Tassigny (Lycée professionnel)</t>
  </si>
  <si>
    <t>tivoli@addictions-sedap.fr</t>
  </si>
  <si>
    <t xml:space="preserve">Tous les mardis : 9h-12h / 14h-18h </t>
  </si>
  <si>
    <t>Selongey</t>
  </si>
  <si>
    <t>Rue du rang Pastourelle</t>
  </si>
  <si>
    <t>lundi, mercredi 9h-12h/14h-18h et vendredi  9h-12h</t>
  </si>
  <si>
    <t>Beaune</t>
  </si>
  <si>
    <t>10, Rue Jaffelin</t>
  </si>
  <si>
    <t>csapa.beaune@addictions-sedap.fr</t>
  </si>
  <si>
    <t>0380257367</t>
  </si>
  <si>
    <t>Tous les jours - 9h-12h et 14h-17h</t>
  </si>
  <si>
    <t>Besançon</t>
  </si>
  <si>
    <t>25000</t>
  </si>
  <si>
    <t>2 avenue Fontaine Argent</t>
  </si>
  <si>
    <t>AIDeS CAARUD25</t>
  </si>
  <si>
    <t>delegation25@aides.org</t>
  </si>
  <si>
    <t>03 81 81 80 00</t>
  </si>
  <si>
    <t>aides.org</t>
  </si>
  <si>
    <t>Lundi, Mercredi, Vendredi de 15h à 19h</t>
  </si>
  <si>
    <t xml:space="preserve">- unité mobile pouvant servir de lieu d'accueil (déplacement sur Bensançon, Baume les Dames, Clerval, Morteau et Pontarlier) ; 
- programme d'échange de seringues ;
- intervention en maraude ; 
- intervention en milieu festif. </t>
  </si>
  <si>
    <t>Vesoul</t>
  </si>
  <si>
    <t>70000</t>
  </si>
  <si>
    <t>27 Av. Aristide Briand</t>
  </si>
  <si>
    <t>caarud.vesoul@addictions-france.org</t>
  </si>
  <si>
    <t>https://addictions-france.org</t>
  </si>
  <si>
    <t>Lundi : 14h-16h30
Mardi, mercredi et jeudi : 9h-12h
Vendredi : 9h-12h/14h-16h</t>
  </si>
  <si>
    <t>Châlon-sur-Saône</t>
  </si>
  <si>
    <t>41 Av. Boucicaut</t>
  </si>
  <si>
    <t>CAARUD 16 Kay - Sauvegarde 71</t>
  </si>
  <si>
    <t>caarud16kay@sauvegarde71.fr</t>
  </si>
  <si>
    <t>0954654665</t>
  </si>
  <si>
    <t>www.sauvegarde71.fr</t>
  </si>
  <si>
    <t>lundi = 13h30-17h30
jeudi = 14h-19h
vendredi 11h-15h30</t>
  </si>
  <si>
    <t xml:space="preserve">- unité mobile pouvant servir de lieu d'accueil (déplacement sur tout le département de Saône et Loire) ; 
- programme d'échange de seringues ;
- intervention en maraude ; 
- intervention en milieu festif. </t>
  </si>
  <si>
    <t>Auxerre</t>
  </si>
  <si>
    <t>89000</t>
  </si>
  <si>
    <t>8 Rue Colonel Rozanoff</t>
  </si>
  <si>
    <t>CAARUD Addictions France</t>
  </si>
  <si>
    <t>caarud.auxerre@addictions-france.org</t>
  </si>
  <si>
    <t>03.86.33.76.41</t>
  </si>
  <si>
    <t>www.addictions-france.org</t>
  </si>
  <si>
    <t>Lundi 8h30 - 13h / 13h30 - 18h
Mardi 9h - 13h / 13h30 - 18h
Jeudi 8h30 -13h / 13h30 - 18h
Vendredi 9h - 13h / 13h30 - 18h</t>
  </si>
  <si>
    <t xml:space="preserve">- unité mobile pouvant servir de lieu d'accueil (déplacement sur tout le département) ; 
- intervention en maraude ; 
- programme d'échange de seringues ;
- intervention en milieu festif. </t>
  </si>
  <si>
    <t>Nevers</t>
  </si>
  <si>
    <t>9 Rue Gambetta</t>
  </si>
  <si>
    <t>CAARUD DE NEVERS - Association Aides</t>
  </si>
  <si>
    <t>nevers@aides.org</t>
  </si>
  <si>
    <t>0386590948</t>
  </si>
  <si>
    <t>www.aides.org</t>
  </si>
  <si>
    <t>Lundi de 13:00 à 17:00
Mardi de 13:00 à 17:00
Jeudi de 9:00 à 12:00 et de 13:00 à 17:00</t>
  </si>
  <si>
    <t xml:space="preserve">- intervention en maraude ;
- programme d'échange de seringues </t>
  </si>
  <si>
    <t xml:space="preserve">Belfort </t>
  </si>
  <si>
    <t>4 rue Georges Koechlin</t>
  </si>
  <si>
    <t>CAARUD ENTR'ACTES - Association d'Hygiène Sociale de Franche Comté</t>
  </si>
  <si>
    <t>03.84.26.12.20</t>
  </si>
  <si>
    <t>Belfort : 
mardi et vendredi de 11h à 16h</t>
  </si>
  <si>
    <t>Montbéliard</t>
  </si>
  <si>
    <t>30 Fbg de Besançon</t>
  </si>
  <si>
    <t>03.81.31.29.41</t>
  </si>
  <si>
    <t>Montbéliard :
lundi et jeudi de 10h à 15h</t>
  </si>
  <si>
    <t>Dijon</t>
  </si>
  <si>
    <t>21000</t>
  </si>
  <si>
    <t>9 Rue Févret</t>
  </si>
  <si>
    <t>Caarud le SPOT - SEDAP</t>
  </si>
  <si>
    <t>caarud@addictions-sedap.fr</t>
  </si>
  <si>
    <t>0688223918</t>
  </si>
  <si>
    <t>www.addictions-sedap.fr</t>
  </si>
  <si>
    <t xml:space="preserve">- unité mobile pouvant servir de lieu d'accueil (déplacement en Côte-d-Or) ; 
- programme d'échange de seringues ;
- intervention en maraude ; 
- intervention en milieu festif ;
- intervention en milieu pénitentier à la Maison d'arrêt de Dijon. </t>
  </si>
  <si>
    <t>Lons Le Saunier</t>
  </si>
  <si>
    <t>39000</t>
  </si>
  <si>
    <t>15 Av. d'Offenbourg</t>
  </si>
  <si>
    <t>CAARUD Oppelia Passerelle 39</t>
  </si>
  <si>
    <t>www.oppelia.fr</t>
  </si>
  <si>
    <t>Mâcon</t>
  </si>
  <si>
    <t>71000</t>
  </si>
  <si>
    <t>71 rue Jean Macé</t>
  </si>
  <si>
    <t>CJC</t>
  </si>
  <si>
    <t>03.85.39.20.56</t>
  </si>
  <si>
    <t>Du Lundi au Vendredi 9h 17h</t>
  </si>
  <si>
    <t xml:space="preserve">- Accueil des familles ; 
- Orientation avec et sans rendez-vous ;
- CJC accessible à la famille et l'entourage ; 
- locaux identiques à ceux du CSAPA. </t>
  </si>
  <si>
    <t>Fontaine Les Dijon</t>
  </si>
  <si>
    <t>21121</t>
  </si>
  <si>
    <t>bfc21@addictions-france.org</t>
  </si>
  <si>
    <t>bfc70@addictions-france.org</t>
  </si>
  <si>
    <t xml:space="preserve">- Accueil des familles ; 
- Orientation sur rendez-vous ;
- CJC accessible à la famille et l'entourage ; 
- locaux identiques à ceux du CSAPA. </t>
  </si>
  <si>
    <t>bfc89@addictions-france.org</t>
  </si>
  <si>
    <t>03.86.51.46.99</t>
  </si>
  <si>
    <t>Auxerre
Mercredi de 11h30 à 17h30
Lundi de 17h à 18h
Sens
Mercredi de 9h30 à 17h
Vendredi de 13h30 à 17h</t>
  </si>
  <si>
    <t>Château-Chinon</t>
  </si>
  <si>
    <t>Maison Médicale, 38 rue Jean Marie Thévenin</t>
  </si>
  <si>
    <t>BFC58@Addictions-france.org</t>
  </si>
  <si>
    <t>04 86 61 56 89</t>
  </si>
  <si>
    <t>Tous les mercredis de 8h30 à 12h30 et de 13h30 à 17h30</t>
  </si>
  <si>
    <t>15 Rue du Moulin d'Écorce</t>
  </si>
  <si>
    <t>Du Lundi au Mercredi - 8H30 A 12H30 et de 13H30 A 18H00
Le jeudi : de 13H30 A 17H30
Le vendredi : de 13H30 A 16H30</t>
  </si>
  <si>
    <t>Dole</t>
  </si>
  <si>
    <t>39100</t>
  </si>
  <si>
    <t>CSAPA Briand Dole - Centre Hospitalier Spécialisé du Jura Saint-Ylie</t>
  </si>
  <si>
    <t>Public</t>
  </si>
  <si>
    <t>addicto.dole@chsjura.fr</t>
  </si>
  <si>
    <t>03.84.82.83.85</t>
  </si>
  <si>
    <t>Pontarlier</t>
  </si>
  <si>
    <t>25300</t>
  </si>
  <si>
    <t>2 Fbg Saint-Etienne</t>
  </si>
  <si>
    <t>CSAPA CHI-HC</t>
  </si>
  <si>
    <t>csapa@chi-hc.fr</t>
  </si>
  <si>
    <t>03 81 38 53 64</t>
  </si>
  <si>
    <t>Lundi et mardi de 8 heures à 19 heures et vendredi de 8 heures à 16 heures</t>
  </si>
  <si>
    <t>CSAPA de Besançon - Association Addictions France</t>
  </si>
  <si>
    <t>csapa.besancon@addictions-france.org</t>
  </si>
  <si>
    <t>03.81.83.22.74</t>
  </si>
  <si>
    <t xml:space="preserve">- Accueil des familles ; 
- Orientation avec et sans rendez-vous ;
- CJC accessible à la famille et l'entourage ; </t>
  </si>
  <si>
    <t>1, Rue de Balerne</t>
  </si>
  <si>
    <t>lons@csapa-adlca.fr</t>
  </si>
  <si>
    <t>0384240571</t>
  </si>
  <si>
    <t>https://csapa-adlca.fr/</t>
  </si>
  <si>
    <t>1er et 3ème mercredi de chaque mois de 14h à 17h à Lons
1er mercredi de chaque mois le matin et 3ème mercredi du mois après midi sur Arbois</t>
  </si>
  <si>
    <t>1 Av. Georges Pompidou</t>
  </si>
  <si>
    <t>Mercredi de 14h à 19h</t>
  </si>
  <si>
    <t>6 rue du rhône</t>
  </si>
  <si>
    <t>03.84.21.76.02</t>
  </si>
  <si>
    <t>Mercredi 14h 19h</t>
  </si>
  <si>
    <t xml:space="preserve">- Accueil des familles ; 
- Orientation sur rendez-vous ;
- CJC accessible à la famille et l'entourage ; </t>
  </si>
  <si>
    <t>CSAPA SOLEA - ADDSEA Bourgogne Franche Comté</t>
  </si>
  <si>
    <t>solea-bis@addsea.fr</t>
  </si>
  <si>
    <t>0381801217</t>
  </si>
  <si>
    <t>6, Avenue Jean Bertin</t>
  </si>
  <si>
    <t>0811466280</t>
  </si>
  <si>
    <t>Tous les jours</t>
  </si>
  <si>
    <t>CMP Adultes, 53 Bd  Renaud de Bourgogne</t>
  </si>
  <si>
    <t>AHBFC</t>
  </si>
  <si>
    <t>contact@ahbfc.fr</t>
  </si>
  <si>
    <t>03 84 57 45 37</t>
  </si>
  <si>
    <t>www.ahbfc.fr</t>
  </si>
  <si>
    <t>du lundi au vendredi après-midi (14h-17h), sur rendez-vous.</t>
  </si>
  <si>
    <t>Intervention auprès de public majeurs</t>
  </si>
  <si>
    <t>Association Hospitalière de Bourgogne-Franche-Comté, 9 rue martin Niemöller</t>
  </si>
  <si>
    <t xml:space="preserve">03 81 90 76 10 </t>
  </si>
  <si>
    <t>CMP Adultes, 9 avenue Léon Blum</t>
  </si>
  <si>
    <t>03 81 90 76 10</t>
  </si>
  <si>
    <t>Centre Georges François Leclerc
1 Rue Professeur Marion</t>
  </si>
  <si>
    <t>Centre Georges François Leclerc</t>
  </si>
  <si>
    <t>Secretariat-Consultation@cgfl.fr</t>
  </si>
  <si>
    <t>03 80 73 77 40</t>
  </si>
  <si>
    <t>https://www.cgfl.fr/?s=tabacologie</t>
  </si>
  <si>
    <t>Lundi après-midi de 15h à 17h
Mardi matin de 9h à 12h</t>
  </si>
  <si>
    <t>Decize</t>
  </si>
  <si>
    <t>58300</t>
  </si>
  <si>
    <t>Centre Hospitalier 74 Route de Moulins</t>
  </si>
  <si>
    <t>CENTRE HOSPITALIER  DECIZE</t>
  </si>
  <si>
    <t>ual@ch-decize.fr</t>
  </si>
  <si>
    <t>03 86 77 77 32</t>
  </si>
  <si>
    <t>www.ghtnievre.fr</t>
  </si>
  <si>
    <t>Du lundi au vendredi de 9h à  17 h</t>
  </si>
  <si>
    <t>ADDICTOLOGIE
Centre Hospitalier Chalon sur Saône William Morey 
4, rue Capitaine Drillien - CS80120</t>
  </si>
  <si>
    <t>Centre Hospitalier Chalon-sur-Saône</t>
  </si>
  <si>
    <t>Secretariat.urgences@ch-chalon71.fr</t>
  </si>
  <si>
    <t>03.85.91.00.85</t>
  </si>
  <si>
    <t>9 h -12h et 14h 17h
Du lundi au vendredi</t>
  </si>
  <si>
    <t>Intervention auprès de public majeurs et mineurs</t>
  </si>
  <si>
    <t>2, boulevard de Verdun</t>
  </si>
  <si>
    <t>CENTRE HOSPITALIER d'AUXERRE</t>
  </si>
  <si>
    <t>scdag@ch-auxerre.fr</t>
  </si>
  <si>
    <t>03-86-48-48-62</t>
  </si>
  <si>
    <t>https://www.ght-unyon.fr/</t>
  </si>
  <si>
    <t>Sur rendez vous du lundi au vendredi</t>
  </si>
  <si>
    <t>Joigny</t>
  </si>
  <si>
    <t>89300</t>
  </si>
  <si>
    <t>CH JOIGNY 3  quai de l'hôpital</t>
  </si>
  <si>
    <t xml:space="preserve">Centre Hospitalier de Joigny pôle H </t>
  </si>
  <si>
    <t>addictologie@ch-joigny.fr</t>
  </si>
  <si>
    <t>03.86.92.33.77</t>
  </si>
  <si>
    <t>5 jours sur 7 de 8h à 16h (heure de fermeture du secrétariat d'accueil, 
Rendez-vous les week-end exceptionnellement si nécessité (routiers, travaille en 2/8)</t>
  </si>
  <si>
    <t>1 avenue Patrick Guillot</t>
  </si>
  <si>
    <t>Centre Hospitalier de l’Agglomération de Nevers</t>
  </si>
  <si>
    <t>unite.addictologie@ch-nevers.fr</t>
  </si>
  <si>
    <t>03 86 93 71 00</t>
  </si>
  <si>
    <t>www.ch-nevers.fr</t>
  </si>
  <si>
    <t xml:space="preserve">Intervention auprès de public majeurs </t>
  </si>
  <si>
    <t>Centre Hospitalier de Lons le Saunier</t>
  </si>
  <si>
    <t>direction.generale@hopitaux-jura.fr</t>
  </si>
  <si>
    <t>03 84 35 60 00</t>
  </si>
  <si>
    <t>https://hopitaux-jura.fr/</t>
  </si>
  <si>
    <t>Tous les jours (ouvrables) plutôt l'après-midi (mais aussi le matin si urgence).</t>
  </si>
  <si>
    <t>71300</t>
  </si>
  <si>
    <t>CH Jean Bouveri, Galuzot BP 189,  Dans plusieurs services</t>
  </si>
  <si>
    <t>Centre Hospitalier de Montceau les Mines</t>
  </si>
  <si>
    <t>contact@ch-montceau71.fr</t>
  </si>
  <si>
    <t>03 85 67 61 73</t>
  </si>
  <si>
    <t>9 h / 17 h tous les jours (du lundi au vendredi)</t>
  </si>
  <si>
    <t>89100</t>
  </si>
  <si>
    <t>Unité mobile d'addictologie, 5e étage, 1 avenue Pierre de Coubertin</t>
  </si>
  <si>
    <t>Centre Hospitalier de Sens</t>
  </si>
  <si>
    <t>contact@ch-sens.fr</t>
  </si>
  <si>
    <t>03.86.86.15.35</t>
  </si>
  <si>
    <t>www.ch-sens.fr</t>
  </si>
  <si>
    <t>Hôpital les Chanaux, Bd Louis Escande</t>
  </si>
  <si>
    <t>Centre Hospitalier les Chanaux, F-71000 Mâcon</t>
  </si>
  <si>
    <t>ADSERVICE@ch-macon.fr</t>
  </si>
  <si>
    <t>www.ch-macon.fr/specialite/addictologie/</t>
  </si>
  <si>
    <t>CONSULTATION DE TABACOLOGIE, 73 Av. Léon Jouhaux
UTEP
CENTRE LOUIS PASTEUR</t>
  </si>
  <si>
    <t>CENTRE HOSPITALIER LOUIS PASTEUR</t>
  </si>
  <si>
    <t>communication@ch-dole.fr</t>
  </si>
  <si>
    <t>03 84 79 68 55</t>
  </si>
  <si>
    <t>https://www.ch-dole.fr</t>
  </si>
  <si>
    <t>71400</t>
  </si>
  <si>
    <t xml:space="preserve">7bis rue de parpas </t>
  </si>
  <si>
    <t>CH Autun</t>
  </si>
  <si>
    <t>http://ch-autun.fr/contact/@ch-autun.fr</t>
  </si>
  <si>
    <t>03 85 86 84 84</t>
  </si>
  <si>
    <t>lundi matin, mercredi matin un jeudi sur deux</t>
  </si>
  <si>
    <t>4 Av. Pierre Scherrer</t>
  </si>
  <si>
    <t>CHS Yonne</t>
  </si>
  <si>
    <t>secteur3@chs-yonne.fr</t>
  </si>
  <si>
    <t>03 86 94 38 71</t>
  </si>
  <si>
    <t>http://www.chs-yonne.fr/</t>
  </si>
  <si>
    <t>du lundi au vendredi de 09:00 à 16:30</t>
  </si>
  <si>
    <t>Hôpital François Mitterrand
CHU de Dijon
Bâtiment Marion (entrée N°5)
14 Rue Paul Gaffarel</t>
  </si>
  <si>
    <t>CHU Dijon</t>
  </si>
  <si>
    <t>addictologie@chu-dijon.fr</t>
  </si>
  <si>
    <t>03.80.29.35.24</t>
  </si>
  <si>
    <t>https://www.chu-dijon.fr/</t>
  </si>
  <si>
    <t>Lundi-Vendredi, 9h-17h</t>
  </si>
  <si>
    <t>ELSA - CHI-HC PONTARLIER</t>
  </si>
  <si>
    <t>Lundi, mardi et jeudi de 8 heures à 19 heures, mercredi et vendredi de 8 heures à 16 heures.</t>
  </si>
  <si>
    <t>71200</t>
  </si>
  <si>
    <t>GROUPE SOS - Hôtel-Dieu du Creusot -Site Harfleur
26 rue d'Harfleur</t>
  </si>
  <si>
    <t>GROUPE SOS - Hôtel-Dieu du Creusot</t>
  </si>
  <si>
    <t>ghforest@hoteldieu-creusot.fr</t>
  </si>
  <si>
    <t>03.85.77.74.85</t>
  </si>
  <si>
    <t>www.hopital-lecreusot.com</t>
  </si>
  <si>
    <t>lundi au vendredi (à voir avec l'équipe ELSA)</t>
  </si>
  <si>
    <t>21200</t>
  </si>
  <si>
    <t>HOSPICES CIVILS DE BEAUNE
Nouveau bâtiment, 1er étage 
Avenue Guigone de Salins</t>
  </si>
  <si>
    <t>Hospices Civils de Beaune</t>
  </si>
  <si>
    <t>direction@ch-beaune.fr</t>
  </si>
  <si>
    <t>0380244608</t>
  </si>
  <si>
    <t>http://hospices-de-beaune.com/</t>
  </si>
  <si>
    <t>Du lundi au vendredi de 9h00 à 17h00</t>
  </si>
  <si>
    <t>Rue Auguste Carre</t>
  </si>
  <si>
    <t>Centre Hospitalier - CHA (Centre Hospitalier Robert Morlevat)</t>
  </si>
  <si>
    <t>secretariat.psychiatrie@ch-semur.fr</t>
  </si>
  <si>
    <t>www.ch-semur.fr</t>
  </si>
  <si>
    <t>Tous les vendredis (sur RDV)</t>
  </si>
  <si>
    <t>Intervention auprès de public majeurs et mineurs, ainsi qu'au Centre Hospitalier Robert Morlevat</t>
  </si>
  <si>
    <t>Semur-En-Auxois</t>
  </si>
  <si>
    <t>3 Av. Pasteur</t>
  </si>
  <si>
    <t>0380896472</t>
  </si>
  <si>
    <t>2 Rue Claude Courtepée</t>
  </si>
  <si>
    <t>0380896545</t>
  </si>
  <si>
    <t>SUR RDV</t>
  </si>
  <si>
    <t>Migennes</t>
  </si>
  <si>
    <t>CH JOIGNY 3 Quai de l'Hôpital</t>
  </si>
  <si>
    <t>ELSA Variable</t>
  </si>
  <si>
    <t>Intervention auprès de public majeurs et mineurs ainsi qu'au CH de Joigny, pôle hôpital</t>
  </si>
  <si>
    <t>CHI-HC PONTARLIER</t>
  </si>
  <si>
    <t>03 81 38 53 65</t>
  </si>
  <si>
    <t>deux lundis après midi/mois</t>
  </si>
  <si>
    <t>Intervention auprès de public majeurs et mineurs ainsi qu'au CHI-HC Pontarlier</t>
  </si>
  <si>
    <t>CMP, 2 Av. des Usines</t>
  </si>
  <si>
    <t>CMP (AHBFC)</t>
  </si>
  <si>
    <t>03 84 68 25 00</t>
  </si>
  <si>
    <t>du lundi au vendredi 14h-17h</t>
  </si>
  <si>
    <t>Lure</t>
  </si>
  <si>
    <t>37 rue Carnot</t>
  </si>
  <si>
    <t>Consultation d'addictologie et de tabacologie (Groupe Hospitalier de la Haute-Saône (GH70))</t>
  </si>
  <si>
    <t>contact@gh70.fr</t>
  </si>
  <si>
    <t>03 84 62 43 82</t>
  </si>
  <si>
    <t>https://www.gh70.fr</t>
  </si>
  <si>
    <t>9h - 17h du lundi au vendredi</t>
  </si>
  <si>
    <t>Intervention auprès de public majeurs et mineurs ainsi qu'au Groupe Hospitalier de la Haute-Saône (GH70)</t>
  </si>
  <si>
    <t>12 rue Grammont</t>
  </si>
  <si>
    <t>mardi matin</t>
  </si>
  <si>
    <t>2 Rue René Heymes</t>
  </si>
  <si>
    <t>5 Rue Jacqueline Auriol</t>
  </si>
  <si>
    <t>HNFC consultations Tech'nom (Hôpital Nord Franche-Comté)</t>
  </si>
  <si>
    <t>ds.secretariat@hnfc.fr</t>
  </si>
  <si>
    <t>03 84 98 30 40</t>
  </si>
  <si>
    <t>www.hnfc.fr</t>
  </si>
  <si>
    <t>lundi 9h à 12h</t>
  </si>
  <si>
    <t>Intervention auprès de public majeurs ainsi qu'à l'Hôpital Nord Franche-Comté</t>
  </si>
  <si>
    <t>Trévenans</t>
  </si>
  <si>
    <t>100 Rte de Moval</t>
  </si>
  <si>
    <t>03 84 98 20 20</t>
  </si>
  <si>
    <t>CSAPA</t>
  </si>
  <si>
    <t>- mise à disposition de matériel de consommation à moindre risque ;
- proposition de test rapide d'orientation diagnostic (TROD) ; 
- dispositifs anti-overdose à disposition ; 
- présence d'une CJC.</t>
  </si>
  <si>
    <t>- Réalisation de consultations avancées sur Vesoul, Fontaine-les-Dijon, Avallon, Vesoul, Lure,  Vesoul, Gray, Luxeuil-les-Bains, Noidans-Le-Ferroux, CPP Gray, Vesoul, Jussey, Rioz ;
- intervention en milieu pénitentiaire à la maison d'arrêt de Vesoul
- mise à disposition de matériel de consommation à moindre risque ;
- dispositifs anti-overdose à disposition ; 
- présence d'une CJC.</t>
  </si>
  <si>
    <t>Lundi 9h-13h / 13h30-18h
Mardi 8h30-13h / 13h30-19h
Mercredi 8h30-13h / 13h30-18h
Jeudi 9h-13h / 13h30-19h
Vendredi 8h30-13h / 13h30-16h30</t>
  </si>
  <si>
    <t>Du Lundi Au Mercredi : De 8H30 A 12H30 et de 13H30 A 18H00
Le jeudi : De 8H30 A 12H30 et de 13H30 A 17H30
Le Vendredi : De 8H30 A 12H30 et de 13H30 A 17H00</t>
  </si>
  <si>
    <t>- Réalisation de consultations avancées sur Imphy ;
- intervention en milieu pénitentiaire à la Maison d'arrêt de Nevers ;
- mise à disposition de matériel de consommation à moindre risque ;
- proposition de test rapide d'orientation diagnostic (TROD) ; 
- dispositifs anti-overdose à disposition ; 
- présence d'une CJC.</t>
  </si>
  <si>
    <t>Du lundi au vendredi de 8h30 à 17h00</t>
  </si>
  <si>
    <t>- dispositifs de soin résidentiel sous forme d'appartement thérapeutique sur Dôle (Avenue Duhamel) ;
- intervention en milieu festif ; 
- mise à disposition de matériel de consommation à moindre risque ;
- présence d'une CJC</t>
  </si>
  <si>
    <t>Lundi-Mardi-Jeudi de 8 heures à 19 heures 
Mercredi et Vendredi de 8 heures à 16 heures</t>
  </si>
  <si>
    <t>- réalisation de consultations avancées sur Morteau ;
- présence d'une CJC</t>
  </si>
  <si>
    <t>90000</t>
  </si>
  <si>
    <t>6 Rue du Rhône</t>
  </si>
  <si>
    <t>csapa.belfort@addictions-france.org</t>
  </si>
  <si>
    <t>- Réalisation de consultations avancées sur Trevenans ;
- intervention en milieu festif ;
- Intervention en milieu pénitentiaire à la maison d'arrêt de Belfort ;
- proposition de test rapide d'orientation diagnostic (TROD) ; 
- présence d'une CJC.</t>
  </si>
  <si>
    <t>11 rue d'Alsace</t>
  </si>
  <si>
    <t>Lundi (9h/12h - 13h/16h30), Mardi (9h/12h - 13h/17h), Mercredi (9h/12h - 13h/17h), Jeudi (9h/12h - 13h/17h), Vendredi (14h30/16h)</t>
  </si>
  <si>
    <t>Lundi au vendredi 8h30-17h30</t>
  </si>
  <si>
    <t>- Réalisation de consultations avancées sur Cousance et Salins-les-Bains ;
- intervention en milieu pénitentiaire à la maison d'arrêt de Lons-le-Saunier ;
- mise à disposition de matériel de consommation à moindre risque ;
- dispositifs anti-overdose à disposition ; 
- présence d'une CJC.</t>
  </si>
  <si>
    <t>lundi = 9h-12h30 / 14h-18h
mardi = 11h-12h30 / 15h30-18h
mercredi = 9h-12h / 14h-18h
jeudi = 9h-12h30 / 14h-18h
vendredi = 9h-12h30 / 14h-17h</t>
  </si>
  <si>
    <t>- Réalisation de consultations avancées sur Chagny, Chalon-sur-Saône, Louhans, Saint Marcel ;
- dispositifs de soins résidentiels sous forme d'appartement thérapeutiques sur Chalon-sur-Saône (15 rue Philibert GUIDE 71100 Chalon-sur-Saône) ;
- intervention en milieu festif ;
- intervention en milieu pénitentiaire au Centre pénitentiaire de Varennes le Grand ;
- mise à disposition de matériel de consommation à moindre risque ;
- proposition de test rapide d'orientation diagnostic (TROD) ; 
- dispositifs anti-overdose à disposition ; 
- présence d'une CJC.</t>
  </si>
  <si>
    <t>40 Fbg de Besançon</t>
  </si>
  <si>
    <t>- Réalisation de consultations avancées sur Pont de Roide, Isle sur le Doubs, Delle et Ornans ;
- intervention en milieu pénitentiaire à la maison d'arrêt de Belfort et de Montébliard ;
- mise à disposition de matériel de consommation à moindre risque ;
- proposition de test rapide d'orientation diagnostic (TROD) ; 
- dispositifs anti-overdose à disposition ; 
- présence d'une CJC.</t>
  </si>
  <si>
    <t>solea@addsea.fr</t>
  </si>
  <si>
    <t>0381830332</t>
  </si>
  <si>
    <t>7 RUE FEVRET</t>
  </si>
  <si>
    <t>Tous les jours : 09h-12h - 14h-18h</t>
  </si>
  <si>
    <t xml:space="preserve">- réalisation de consultations avancées (Montbard) ;
- Dispositif de soin résidentiel sous forme de centre thérapeutique résidentiel sur Dijon (1 rue Toutain) ;
- Proposition de tests rapide d'orientation diagnostic (TROD) ;
- Dispositif anti-overdose ;
- Présence d'une CJC. </t>
  </si>
  <si>
    <t>Avallon</t>
  </si>
  <si>
    <t>03 86 51 46 99</t>
  </si>
  <si>
    <t>CH, 2 rue Claude Petiet</t>
  </si>
  <si>
    <t>04 80 73 16 46</t>
  </si>
  <si>
    <t>Mardi : 9h-12h30 / 13h-17h (sauf le 1er mardi du mois)</t>
  </si>
  <si>
    <t>CHRS Sadi Carnot, 2 Terrue Sadi Carnot</t>
  </si>
  <si>
    <t>05 80 73 16 46</t>
  </si>
  <si>
    <t>mardi : 9h -11h</t>
  </si>
  <si>
    <t>MDA de Gray - 10, rue des Casernes</t>
  </si>
  <si>
    <t>03-84-76-75-79</t>
  </si>
  <si>
    <t>Mercredi 14h-18h</t>
  </si>
  <si>
    <t>Jussey</t>
  </si>
  <si>
    <t>CMS - Place du Champ de Foire</t>
  </si>
  <si>
    <t>CMP - 4, rue Parmentier</t>
  </si>
  <si>
    <t>Lundi 9h-12h30</t>
  </si>
  <si>
    <t>MDA de Luxeuil-les-Bains - Place du 8 mai 1945</t>
  </si>
  <si>
    <t>03-84-76-75-80</t>
  </si>
  <si>
    <t>Lundi 14h-17h30</t>
  </si>
  <si>
    <t>Rioz</t>
  </si>
  <si>
    <t>CMS - Rue du Clair Soleil</t>
  </si>
  <si>
    <t>Jeudi 13h30-17h (1 fois par mois)</t>
  </si>
  <si>
    <t>MDA de Vesoul - 19, rue de la Banque</t>
  </si>
  <si>
    <t>03-84-76-75-78</t>
  </si>
  <si>
    <t>Jeudi 12h30 -16h</t>
  </si>
  <si>
    <t>AHSRA - 2, rue René Hologne</t>
  </si>
  <si>
    <t>Association Addictions France en Haute-Saône - consultations avancées</t>
  </si>
  <si>
    <t>Maison d'Arrêt - Place Beauchamp</t>
  </si>
  <si>
    <t>Jeudi 13h30-16h30</t>
  </si>
  <si>
    <t>Noidans-Le-Ferroux</t>
  </si>
  <si>
    <t>Maison Médicale - 20, rue du Centre</t>
  </si>
  <si>
    <t>03-84-76-75-81</t>
  </si>
  <si>
    <t>Lundi 9h-12h</t>
  </si>
  <si>
    <t>CHRS 4 rue Thomas Ancel</t>
  </si>
  <si>
    <t>03.86.51.46.100</t>
  </si>
  <si>
    <t>1 mardi matin sur 2 de 9h à 13h</t>
  </si>
  <si>
    <t>CHRS 29 Avenue des Cosmonautes</t>
  </si>
  <si>
    <t>03.86.51.46.102</t>
  </si>
  <si>
    <t>1 mardi après-midi sur 2 de 14h à 17h</t>
  </si>
  <si>
    <t>Centre Hospitalier 1 Avenue Pierre de Coubertin</t>
  </si>
  <si>
    <t>03 86 92 33 33</t>
  </si>
  <si>
    <t>le mercredi  de 9h à 12h30</t>
  </si>
  <si>
    <t>CHRS 61 Boulevard du 14 juillet</t>
  </si>
  <si>
    <t>03.86.51.46.101</t>
  </si>
  <si>
    <t>1 lundi sur 2 de 9h30 à 15h</t>
  </si>
  <si>
    <t>Tonnerre</t>
  </si>
  <si>
    <t>Centre Périnatal de Proximité Rue Jumériaux</t>
  </si>
  <si>
    <t>03 86 27 60 84</t>
  </si>
  <si>
    <t>1 lundi sur 2 de 9h à 12h30</t>
  </si>
  <si>
    <t>Centre de périnatalité de proximité, 2 Rue Claude Petiet</t>
  </si>
  <si>
    <t>CSAPA - Association Addictions France - consultations avancées - Centre de Périnatalité de Proximité de Châtillon sur Seine</t>
  </si>
  <si>
    <t>03.80.81.73.61</t>
  </si>
  <si>
    <t>Clamecy</t>
  </si>
  <si>
    <t>Centre de Périnatalité de Proximité de Clamecy, 14 Rte de Beaugy</t>
  </si>
  <si>
    <t>CSAPA - Association Addictions France - consultations avancées - Centre de Périnatalité de Proximité de Clamecy</t>
  </si>
  <si>
    <t>Le lundi, mardi, jeudi de 9h00 à 17h00 ; le mercredi de 9h00 à 18h00 ;le vendredi de 9h00 à 16h30.</t>
  </si>
  <si>
    <t>Cosne-Cours-Sur-Loire</t>
  </si>
  <si>
    <t>Centre Hospitalier de Cosne-Cours-sur-Loire
96, rue Maréchal Leclerc</t>
  </si>
  <si>
    <t xml:space="preserve">CSAPA - Association Addictions France - consultations avancées - Centre de Périnatalité de Proximité de Cosne sur Loire </t>
  </si>
  <si>
    <t>secretaire.cpp@hopital-cosne.fr</t>
  </si>
  <si>
    <t>Ouvert du lundi au vendredi
De 8h30 à 12h30 et de 13h30 à 17h30</t>
  </si>
  <si>
    <t>Centre de Périnatalité de Proximité de Decize, 74 Route de Moulins, BP 20065</t>
  </si>
  <si>
    <t xml:space="preserve">CSAPA - Association Addictions France - consultations avancées - Centre de Périnatalité de Proximité de Decize </t>
  </si>
  <si>
    <t>Du lundi au vendredi de 9h30 à 13h00 et de 14h30 à 17h00</t>
  </si>
  <si>
    <t>Centre de Périnatalité de Proximité de Gray  5 r Arsenal</t>
  </si>
  <si>
    <t xml:space="preserve">CSAPA - Association Addictions France - consultations avancées - Centre de Périnatalité de Proximité de Gray </t>
  </si>
  <si>
    <t>Centre de Périnatalité de Proximité de Lure, 37 rue Carnot</t>
  </si>
  <si>
    <t xml:space="preserve">CSAPA - Association Addictions France - consultations avancées - Centre de Périnatalité de Proximité de Lure </t>
  </si>
  <si>
    <t>luref.lorenzi@chi70.fr</t>
  </si>
  <si>
    <t>03 84 62 43 57</t>
  </si>
  <si>
    <t>Le lundi, mercredi et jeudi de 08h00 à 12h00 et de 13h30 à 16h30, le mardi, vendredi de 08h30 à 16h30 au 03 84 62 43 57</t>
  </si>
  <si>
    <t>Centre de Périnatalité de Proximité de Luxueil, 12 rue Grammont</t>
  </si>
  <si>
    <t xml:space="preserve">CSAPA - Association Addictions France - consultations avancées - Centre de Périnatalité de Proximité de Luxueil </t>
  </si>
  <si>
    <t>Centre de Périnatalité de Proximité de Montceau-les-Mines , CH Jean Bouveri, Galuzot BP 189,  Dans plusieurs services</t>
  </si>
  <si>
    <t xml:space="preserve">CSAPA - Association Addictions France - consultations avancées - Centre de Périnatalité de Proximité de Montceau-les-Mines </t>
  </si>
  <si>
    <t>secgynéco@ch-montceau-71.fr</t>
  </si>
  <si>
    <t>03 85 67 60 04</t>
  </si>
  <si>
    <t>du lundi au jeudi de 9h à 17h et le vendredi matin de 9h à 12h.</t>
  </si>
  <si>
    <t>Imphy</t>
  </si>
  <si>
    <t>CHRS -8 Rue Jean Sounié</t>
  </si>
  <si>
    <t>4ème vendredi de 9H00 A 12H00</t>
  </si>
  <si>
    <t xml:space="preserve"> Centre de Périnatalité de Proximité de Saint-Claude, 2 Rue de l'Hôpital</t>
  </si>
  <si>
    <t>CSAPA - Oppélia39 - consultations avancées - Centre de Périnatalité de Proximité de Saint-Claude</t>
  </si>
  <si>
    <t>Morteau</t>
  </si>
  <si>
    <t>Hopital de Morteau, 9 Rue Maréchal Leclerc</t>
  </si>
  <si>
    <t>Un lundi sur deux de 14 heures à 18h30</t>
  </si>
  <si>
    <t>Hôpital Nord Franche-Comté, 100 route de Moval</t>
  </si>
  <si>
    <t>03.84.22.31.40</t>
  </si>
  <si>
    <t>Le lundi de 9h30 à 11h30 et le jeudi de 9h à 12h30</t>
  </si>
  <si>
    <t>Baumes Les Dames</t>
  </si>
  <si>
    <t>CMS Baumes les Dames, 2 rue des Frères Grenier</t>
  </si>
  <si>
    <t>03.81.83.22.79</t>
  </si>
  <si>
    <t>Un mardi toute les trois semaines de 9h à 12h et de 13h30 à 17h</t>
  </si>
  <si>
    <t>SAAS, 10 rue Champrond</t>
  </si>
  <si>
    <t>03.81.83.22.83</t>
  </si>
  <si>
    <t>Vendredi de 9h à 11h30</t>
  </si>
  <si>
    <t>Boutique Jeanne Antide, 3 rue Champrond</t>
  </si>
  <si>
    <t>03.81.83.22.84</t>
  </si>
  <si>
    <t>Mardi de 10h30 à 11h30</t>
  </si>
  <si>
    <t>Résidence l'AGORA, 2 rue Pierre Mesnage</t>
  </si>
  <si>
    <t>03.81.83.22.80</t>
  </si>
  <si>
    <t>Mercredi de 10h à 12h</t>
  </si>
  <si>
    <t>Maison d'arrêt de Besançon, rue Pergaud</t>
  </si>
  <si>
    <t>03.81.83.22.81</t>
  </si>
  <si>
    <t>Résidence sociale ADOMA, 12 rue Saint Martin</t>
  </si>
  <si>
    <t>03.81.83.22.82</t>
  </si>
  <si>
    <t>Un jeudi sur deux de 10h à 11h</t>
  </si>
  <si>
    <t>Chalezeule</t>
  </si>
  <si>
    <t>CHRS Javel, 2 grande rue</t>
  </si>
  <si>
    <t>03.81.83.22.78</t>
  </si>
  <si>
    <t>Jeudi de 16h30 à 18h30</t>
  </si>
  <si>
    <t>CCAS de Morteau, 6 rue Barral</t>
  </si>
  <si>
    <t>03.81.83.22.76</t>
  </si>
  <si>
    <t>Mercredi de 9h à 12h (semaine impaire) et de 9h à 17h (semaine paire)</t>
  </si>
  <si>
    <t>Maison de santé de Pontarlier, 16  rue De la Fontaine</t>
  </si>
  <si>
    <t>03.81.83.22.75</t>
  </si>
  <si>
    <t>Mardi de 9h30 à 16h30</t>
  </si>
  <si>
    <t>Quingey</t>
  </si>
  <si>
    <t>Mairie de Quingey, 1 place d'armes</t>
  </si>
  <si>
    <t>03.81.83.22.77</t>
  </si>
  <si>
    <t>Vendredi de 8h30 à 11h30</t>
  </si>
  <si>
    <t>Cousance</t>
  </si>
  <si>
    <t>60 grande rue</t>
  </si>
  <si>
    <t>0384240572</t>
  </si>
  <si>
    <t>lundi après midi 14h-17h et le vendredi matin 9h-13h</t>
  </si>
  <si>
    <t>Salins Les Bains</t>
  </si>
  <si>
    <t>Passage du Docteur Germain</t>
  </si>
  <si>
    <t>0384240573</t>
  </si>
  <si>
    <t>mercredi de 14h à 17h</t>
  </si>
  <si>
    <t>Chagny</t>
  </si>
  <si>
    <t>Chagny santé 4 route de Beaune</t>
  </si>
  <si>
    <t>0385909061</t>
  </si>
  <si>
    <t>1 mercredi par mois 9h-12h</t>
  </si>
  <si>
    <t>Delle</t>
  </si>
  <si>
    <t>L'Isle Sur Le Doubs</t>
  </si>
  <si>
    <t>54 Rue du Magny</t>
  </si>
  <si>
    <t>1 mardi sur 2 de 10h à 16h</t>
  </si>
  <si>
    <t>Ornans</t>
  </si>
  <si>
    <t>1 Rue Saint-Laurent</t>
  </si>
  <si>
    <t>03.81.99.37.08</t>
  </si>
  <si>
    <t>Du lundi au vendredi de 8h30 à 12h et de 13h30 à 16h.</t>
  </si>
  <si>
    <t>Pont De Roide</t>
  </si>
  <si>
    <t>23 avenue de la Libération</t>
  </si>
  <si>
    <t>04 84 24 66 83</t>
  </si>
  <si>
    <t>Isle Santé 54 Rue du Magny</t>
  </si>
  <si>
    <t>semaine impaire de 9h à 17h</t>
  </si>
  <si>
    <t>32 Rue Jacques Gervais</t>
  </si>
  <si>
    <t>une semaine sur deux de 9h à 17h</t>
  </si>
  <si>
    <t>Valdahon</t>
  </si>
  <si>
    <t>Maison des Services 5 place de Gén de Gaulle</t>
  </si>
  <si>
    <t>Bavilliers</t>
  </si>
  <si>
    <t>90800</t>
  </si>
  <si>
    <t>Hôpital psychiatrique, 5 rte de Froideval</t>
  </si>
  <si>
    <t>ELSA</t>
  </si>
  <si>
    <t>- intervention auprès de public majeur ; 
- intervention en urgences HNFC, services MCO HNFC, services psychiatriques AHBFC</t>
  </si>
  <si>
    <t>Centre Hospitalier 74 Route de Moulins, Dans plusieurs services</t>
  </si>
  <si>
    <t>- intervention auprès de public majeur ; 
- intervention dans les services de médecine - urgences - Centre de périnatalité de proximité - tous autres services demandeurs de l'établissement (SSR, surveillance continue, cardiologie, EHPAD...)</t>
  </si>
  <si>
    <t>Centre Hospitalier Chalon sur Saône William Morey 
4, rue Capitaine Drillien, Dans un seul service</t>
  </si>
  <si>
    <t>Tél. 03.85.91.00.85</t>
  </si>
  <si>
    <t>- intervention auprès de public majeur ; 
- intervention auprès des SAU et UHCD</t>
  </si>
  <si>
    <t>CENTRE HOSPITALIER d'AUXERRE, 2 boulevard de Verdun, Dans plusieurs services</t>
  </si>
  <si>
    <t>- intervention auprès de public majeur ; 
- Intervention au sein de tous les services du CHA y compris en pédiatrie avec des mineurs</t>
  </si>
  <si>
    <t>CH JOIGNY 3 quai de l'hôpital, Dans plusieurs services</t>
  </si>
  <si>
    <t>CENTRE HOSPITALIER DE JOIGNY POLE HOPITAL</t>
  </si>
  <si>
    <t>03.86.92.33.77 celui des Consultations Externes</t>
  </si>
  <si>
    <t>- intervention auprès de public majeur ; 
- intervention en service de médecine, service des urgences, ssr cardio-respiratoire, had, emsp, HDJ en pôle h
ussr généraliste, l séjour, moyen séjour en pôle G</t>
  </si>
  <si>
    <t>Centre Hospitalier de l’Agglomération de Nevers, 1 avenue Patrick Guillot, Dans plusieurs services</t>
  </si>
  <si>
    <t>Urgences, unité hospitalière de très courte durée
Hépato-gastro-entérologie, médecine infectieuse, chirurgie digestive, hôpital de jour
Cardiologie, urgences et soins intensifs de cardiologie, pneumologie
Néphrologie, hémodialyse, diabétologie, neurologie, VTH, médecine générale, hôpital de jour
Maternité</t>
  </si>
  <si>
    <t>Centre Hospitalier de Lons le Saunier, 55 rue du Dr Jean Michel, Dans plusieurs services</t>
  </si>
  <si>
    <t>03.84.35.61.24 ou 03.84.35.61.27</t>
  </si>
  <si>
    <t>- intervention auprès de public majeur ; 
- Tous les services demandeurs (urgences, post-urgences, maternité-gynéco, réa, chirurgie, neurologie, diabéto, gériatrie, pédiatrie, cardiologie...).
NB : nous accueillons tous ceux qui en font la demande, majeurs et mineurs...</t>
  </si>
  <si>
    <t>- intervention auprès de public majeur ; 
- interventions dans tous les services</t>
  </si>
  <si>
    <t>Centre Hospitalier de Sens, 1 avenue Pierre de Coubertin, Dans plusieurs services</t>
  </si>
  <si>
    <t>- intervention auprès de public majeur ; 
- intervention en pédiatrie et dans les services MCO et EHPAD</t>
  </si>
  <si>
    <t>03 85 27 53 69</t>
  </si>
  <si>
    <t>Concerne mineurs ou majeurs  (pas d'exclusion
Tous : urgences (SAU, UHCD), MCO (médecine chirurgie et maternité), pédiatrie, psychiatrie;     et SSR, USLD, ehpad
Procédure de prescription de consultation dans DP : Crossway (téléphone réservé aux urgences relatives)
Procédure de rencontre des intoxications éthylique aigues au lendemain de l'ivresse : aux urgences (SAU, UHCD), MCO (médecine chirurgie et maternité), pédiatrie, psychiatrie;</t>
  </si>
  <si>
    <t>21140</t>
  </si>
  <si>
    <t>Centre Hospitalier Robert Morlevat</t>
  </si>
  <si>
    <t>0380896539 / 0380894597</t>
  </si>
  <si>
    <t>- intervention auprès de public majeur ; 
- interventions dans tous les services de MCO et psychiatrie de l'hôpital de SEMUR,  EHPAD</t>
  </si>
  <si>
    <t>CH Autun, 7 Bis rue Parpas, Dans plusieurs services</t>
  </si>
  <si>
    <t>- intervention auprès de public majeur ; 
-interventions dans tous les services</t>
  </si>
  <si>
    <t>Sevrey</t>
  </si>
  <si>
    <t>CHS de SEVREY, 55 rue Auguste Champion, Dans plusieurs services</t>
  </si>
  <si>
    <t>CHS de SEVREY</t>
  </si>
  <si>
    <t>chs@ch-sevrey.fr</t>
  </si>
  <si>
    <t>03 85 92 82 04</t>
  </si>
  <si>
    <t>https://www.ch-sevrey.fr/</t>
  </si>
  <si>
    <t>- intervention auprès de public majeur ; 
- intervention dans tout l'hôpital, sanitaire et médico-social</t>
  </si>
  <si>
    <t>CHS Saint-Ylie Jura, 120 route nationale, Dans plusieurs services</t>
  </si>
  <si>
    <t>CHS Saint-Ylie Jura</t>
  </si>
  <si>
    <t>addicto@chsjura.fr</t>
  </si>
  <si>
    <t>06 43 31 18 99</t>
  </si>
  <si>
    <t>- intervention auprès de public majeur ; 
- intervention dans les services du CHS, services du CH Louis Pasteur de Dole Jura</t>
  </si>
  <si>
    <t>Saint-Ylie Dole</t>
  </si>
  <si>
    <t>39108</t>
  </si>
  <si>
    <t>CHS Saint-Ylie Jura
Centre hospitalier spécialisé du Jura</t>
  </si>
  <si>
    <t>ura.addictologie@chsjura.fr</t>
  </si>
  <si>
    <t>www.chsjura.fr</t>
  </si>
  <si>
    <t>- intervention auprès de public majeur ; 
- intervention en URA et dans l'ensemble des services du CHS Saint-ylie Jura, au CHLP Dole
RQ: L'ELSA est rattaché au CSAPA de Dole lui même rattaché au CHS Saint-ylie Jura</t>
  </si>
  <si>
    <t>03 86 34 86 00 (CMP Avallon) ou 03 86 54 80 70 (CMP Tonnerre)</t>
  </si>
  <si>
    <t>- intervention auprès de public majeur ; 
- interventions en urgences  CH Auxerre, Avallon et Tonnerre 
Médecine polyvalente CH Auxerre, Avallon et Tonnerre 
CMP AVALLON et TONNERRE
PASS Psy
Services d'addiction des CH</t>
  </si>
  <si>
    <t>Besancon/Novillars</t>
  </si>
  <si>
    <t>CHU BESANCON/ CH NOVILLARS</t>
  </si>
  <si>
    <t>addictologie-secret@chu-besancon.fr</t>
  </si>
  <si>
    <t>03-81-21-90-08</t>
  </si>
  <si>
    <t>www.chu-besancon.fr</t>
  </si>
  <si>
    <t>- intervention auprès de public majeur ; 
- intervention au CHU :Services d'urgences du CHU : SAU, urgences traumatologiques,  urgences psychiatriques et dans tous les services de médecine, chirurgie, obstétrique et de psychiatrie. 
- interventions au CH Novillars dans les services intra hospitaliers de psychiatrie</t>
  </si>
  <si>
    <t>CHU Dijon, 14 rue Paul Gaffarel</t>
  </si>
  <si>
    <t>0380293524</t>
  </si>
  <si>
    <t>- intervention auprès de public majeur ; 
- L'ELSA intervient dans l'ensemble des services hospitaliers du CHU de Dijon</t>
  </si>
  <si>
    <t>CHI-HC PONTARLIER, Dans plusieurs services</t>
  </si>
  <si>
    <t>03 81 38 61 19</t>
  </si>
  <si>
    <t>- intervention auprès de public majeur ; 
- interventions dans l'ensemble des services du CHI-HC ( les 3 services de médecine, le service de chirurgie, la maternité, la pédiatrie néonat., l'UHTCD, les urgences et la psychiatrie)</t>
  </si>
  <si>
    <t>Groupe Hospitalier de la Haute-Saône (GH70), 2 rue René Heymes, Dans plusieurs services</t>
  </si>
  <si>
    <t>Groupe Hospitalier de la Haute-Saône (GH70)</t>
  </si>
  <si>
    <t>03 84 96 29 66</t>
  </si>
  <si>
    <t>- intervention auprès de public majeur ; 
- L'ELSA intervient tous les jours et à titre systématique aux urgences et dans tous les services de tous les sites du GH sur demande des services.</t>
  </si>
  <si>
    <t>- intervention auprès de public majeur ; 
- interventions dans toutes les unités de soins du site de rattachement et dans les structures avec lesquelles il existe un partenariat</t>
  </si>
  <si>
    <t>- intervention auprès de public majeur ; 
- Intervention sur l'ensemble des services de l'hôpital</t>
  </si>
  <si>
    <t>Bletterans</t>
  </si>
  <si>
    <t>39140</t>
  </si>
  <si>
    <t>7 rue de la Demi Lune</t>
  </si>
  <si>
    <t>ADLCA</t>
  </si>
  <si>
    <t>contact@adlca-bletterans.fr</t>
  </si>
  <si>
    <t>03 84 48 17 21</t>
  </si>
  <si>
    <t>www.adlca.fr</t>
  </si>
  <si>
    <t>- interventions auprès d'un public majeur ; 
- lits installés au sein d'une même unité ; 
- unité MCO.</t>
  </si>
  <si>
    <t>CPG
59 rue Paul Vinot
70400 Héricourt</t>
  </si>
  <si>
    <t>03 84 90 89 00</t>
  </si>
  <si>
    <t>- interventions auprès d'un public majeur ; 
- lits installés au sein d'une même unité ; 
- unité de CPG Héricourt, 3ème étage</t>
  </si>
  <si>
    <t>Centre hospitalier - service de médecine D - 74 Route de Moulins</t>
  </si>
  <si>
    <t>- intervention auprès d'un public majeur ; 
- les lits sont intégrés dans le service de médecine à orientation gastroentérologique ; 
- unité de médecine D</t>
  </si>
  <si>
    <t>2 boulevard Verdun</t>
  </si>
  <si>
    <t>- intervention auprès de public majeur et mineur ; 
- lits installés au sein d'une même unité ; 
- unité hépatogastrologie</t>
  </si>
  <si>
    <t>CH JOIGNY 3 quai de l'hôpital</t>
  </si>
  <si>
    <t xml:space="preserve">- intervention auprès de public majeur et mineur ; 
- lits disséminés dans différentes unités hospitalières ;
- 2 unités USC, 1 lit délocalisé de médecine B, 1 lit de médecine B. </t>
  </si>
  <si>
    <t xml:space="preserve">- intervention auprès d'un public majeur ;
- aucun lit dédié mais sevrage possible au cas par cas. </t>
  </si>
  <si>
    <t>entre Hospitalier de Lons le Saunier, 55 rue du Dr Jean-Michel, Médecine 1, UF d'Addictologie</t>
  </si>
  <si>
    <t>03.84.35.60.40 (secrétariat du service)</t>
  </si>
  <si>
    <t>- intervention auprès d'un public mineur et majeur ;
- lits installés au sein d'une même unité ; 
- unité de médecine 1 (gastro-entérologie)</t>
  </si>
  <si>
    <t>- intervention auprès d'un public majeur ;
- lits disséminés dans différentes unités hospitalières ; 
- unité de médecine polyvalente ou médecine de spécialités</t>
  </si>
  <si>
    <t>Hôpital les Chanaux, Bd L Escandes</t>
  </si>
  <si>
    <t>- interventions auprès d'un public majeur ; 
- lits installés au sein d'une même unité ; 
- unité d'addictologie, unité R3</t>
  </si>
  <si>
    <t>SERVICE DE NEUROLOGIE
3ème ETAGE
CH LOUIS PASTEUR</t>
  </si>
  <si>
    <t>Centre hospitalier Louis Pasteur</t>
  </si>
  <si>
    <t>03 84 79 80 65</t>
  </si>
  <si>
    <t>- intervention auprès d'un public majeur ; 
- unité neurologique</t>
  </si>
  <si>
    <t>0380896214</t>
  </si>
  <si>
    <t>- interventions auprès d'un public majeur ; 
- lits installés au sein d'une même unité ; 
- service escale</t>
  </si>
  <si>
    <t xml:space="preserve">- interventions auprès d'un public majeur ; 
- lits installés au sein d'une même unité ; 
- unité de médecine 2
</t>
  </si>
  <si>
    <t>CH Jean Bouveri</t>
  </si>
  <si>
    <t>- interventions auprès d'un public majeur ; 
- lits installés au sein d'une même unité ; 
- une unité de médecine polyvalente.</t>
  </si>
  <si>
    <t>1 BVD Chamoine Kir</t>
  </si>
  <si>
    <t>CH La Chartreuse</t>
  </si>
  <si>
    <t>Eole@chlcdijon.fr</t>
  </si>
  <si>
    <t>0380424949</t>
  </si>
  <si>
    <t>www.ch-lachartreuse-dijon-cotedor.fr</t>
  </si>
  <si>
    <t>- interventions auprès d'un public majeur ; 
- lits installés au sein d'une même unité ; 
- une unité EOLE (2 lits sevrage simple et 16 lits sevrage complexe).</t>
  </si>
  <si>
    <t>CHS Saint-Ylie Jura
URA "Les Hirondelles"
120 Route Nationale</t>
  </si>
  <si>
    <t>03 84 82 81 44</t>
  </si>
  <si>
    <t>- interventions auprès d'un public majeur ; 
- lits installés au sein d'une même unité ; 
- unité URA "Les Hirondelles"</t>
  </si>
  <si>
    <t>- interventions auprès d'un public majeur ; 
- lits installés au sein d'une même unité ; 
- URA</t>
  </si>
  <si>
    <t>03 86 94 38 10 secrétariat Addictologie</t>
  </si>
  <si>
    <t>- interventions auprès d'un public majeur ; 
- lits installés au sein d'une même unité ; 
- unité Michel Thuillier</t>
  </si>
  <si>
    <t>03.80.28.15.28</t>
  </si>
  <si>
    <t>- interventions auprès d'un public majeur ; 
- lits installés au sein d'une même unité ; 
- unité de service hospitalo-universitaire d'addictologie</t>
  </si>
  <si>
    <t>Service de médecine B 
CHI-HC PONTARLIER, 2 Fbg Saint-Etienne</t>
  </si>
  <si>
    <t>- interventions auprès d'un public majeur ; 
- lits installés au sein d'une même unité ; 
- unité de service de médecine B</t>
  </si>
  <si>
    <t>GH70 site de LURE
37 avenue Carnot</t>
  </si>
  <si>
    <t>03 84 62 43 92</t>
  </si>
  <si>
    <t xml:space="preserve">- interventions auprès d'un public majeur ; 
- lits installés au sein d'une même unité ; 
- unité d'addictologie
</t>
  </si>
  <si>
    <t>HOSPICES CIVILS DE BEAUNE
Avenue Guigone de Salins</t>
  </si>
  <si>
    <t xml:space="preserve">- interventions auprès d'un public majeur ; 
- pas de lit déidié, demande auprès du service de rattachement selon disponibilité ;
- unité de médecine 2, service de médecine polyvalente à orientation gastroentérologique et oncologique. </t>
  </si>
  <si>
    <t>Niveau 2 CH Jean Bouveri</t>
  </si>
  <si>
    <t>- interventions auprès d'un public majeur ; 
- lits installés au sein d'une même unité ; 
- unité de médecine polyvalente ;
- accueille également des patients pour des sevrages simples ;
- interventions dans tous les services de l'hôpital ;</t>
  </si>
  <si>
    <t>SMRA</t>
  </si>
  <si>
    <t xml:space="preserve">- intervention auprès d'un public majeur ; </t>
  </si>
  <si>
    <t>31 rue marceau</t>
  </si>
  <si>
    <t>Association du Renouveau</t>
  </si>
  <si>
    <t>cssr@renouveau-asso.fr</t>
  </si>
  <si>
    <t>0380288551</t>
  </si>
  <si>
    <t>https://renouveau-asso.com</t>
  </si>
  <si>
    <t xml:space="preserve">'- intervention auprès d'un public majeur ; </t>
  </si>
  <si>
    <t>89400</t>
  </si>
  <si>
    <t>AIHP-Centre Armançon
18 bis Rue Pierre SEMARD</t>
  </si>
  <si>
    <t>Association Icaunaise d'Hygiène Populaire</t>
  </si>
  <si>
    <t>accueil@centre-armancon.fr</t>
  </si>
  <si>
    <t>03 86 80 24 55</t>
  </si>
  <si>
    <t>www.centre-armancon.fr</t>
  </si>
  <si>
    <t>- intervention auprès d'un public majeur ; 
- spécialisé en alcoolodépendance</t>
  </si>
  <si>
    <t>Champlemy</t>
  </si>
  <si>
    <t>58210</t>
  </si>
  <si>
    <t>Centre médical de la Vènerie, Lieu Dit La Vènerie</t>
  </si>
  <si>
    <t>VP SANTE</t>
  </si>
  <si>
    <t>Privé à but lucratif</t>
  </si>
  <si>
    <t>soins-admissions@lavenerie.fr</t>
  </si>
  <si>
    <t>03 86 69 50 00</t>
  </si>
  <si>
    <t>Soins complexes</t>
  </si>
  <si>
    <t xml:space="preserve">- intervention auprès de public majeur ; 
- accueille également des patients pour des sevrages simples </t>
  </si>
  <si>
    <t>03 86 67 63 71</t>
  </si>
  <si>
    <t>BVD Chamoine Kir</t>
  </si>
  <si>
    <t>CHS de Sevrey</t>
  </si>
  <si>
    <t>iris2.docs@ch-sevrey.fr</t>
  </si>
  <si>
    <t>03 85 92 83 12</t>
  </si>
  <si>
    <t xml:space="preserve">- intervention auprès de public majeur ; 
</t>
  </si>
  <si>
    <t xml:space="preserve">- intervention auprès de public majeur ;  </t>
  </si>
  <si>
    <t>CHS Saint-Ylie Jura
URA "Les Hirondelles"
120 route Nationale</t>
  </si>
  <si>
    <t>jura.addictologie@chsjura.fr</t>
  </si>
  <si>
    <t>88 rue Rambuteau</t>
  </si>
  <si>
    <t>Actuellement inactif par défaut de ressources humaines médicales et non médicales</t>
  </si>
  <si>
    <t>- intervention auprès d'un public majeur</t>
  </si>
  <si>
    <t xml:space="preserve">www.ch-semur.fr </t>
  </si>
  <si>
    <t>03 86 94 38 10 secrétariat Addictologie)</t>
  </si>
  <si>
    <t>0380295437</t>
  </si>
  <si>
    <t>Lundi-vendredi, 9h-16h</t>
  </si>
  <si>
    <t>Groupe Hospitalier de la Haute-Saône site de LURE
37 avenue Carnot</t>
  </si>
  <si>
    <t>03 84 62 43 76</t>
  </si>
  <si>
    <t>- 8h30 à 17h00 du lundi au vendredi</t>
  </si>
  <si>
    <t>90400</t>
  </si>
  <si>
    <t>Hôpital Nord Franche-Comté</t>
  </si>
  <si>
    <t>03 84 98 25 51</t>
  </si>
  <si>
    <t>8h - 17h du lundi au vendredi</t>
  </si>
  <si>
    <t>Maison d’arrêt d’Auxerre;Centre de détention de Joux-la-Ville</t>
  </si>
  <si>
    <t>- unité de consultations et de soins ambulatoires (UCSA) ;
- intervention de niveau 1 (consultations, prestations et activités ambulatoires).</t>
  </si>
  <si>
    <t>Maison d’arrêt de Lons-le-Saunier, 2 rue de la Chevalerie</t>
  </si>
  <si>
    <t>03.84.25.49.63</t>
  </si>
  <si>
    <t>Maison d'arrêt de Montbéliard, 2 Rue du Bois Bourgeois</t>
  </si>
  <si>
    <t xml:space="preserve">03.81.91.37.12 </t>
  </si>
  <si>
    <t>Structures intervenant en Côte-d'Or (21)</t>
  </si>
  <si>
    <t>Structures intervenant dans le Doubs (25)</t>
  </si>
  <si>
    <t>Structures intervenant dans le Jura (39)</t>
  </si>
  <si>
    <t>Structures intervenant dans la Nièvre (58)</t>
  </si>
  <si>
    <t>Structures intervenant en Haute-Saône (70)</t>
  </si>
  <si>
    <t>Structures intervenant en Saône-et-Loire (71)</t>
  </si>
  <si>
    <t>Structures intervenant dans l'Yonne (89)</t>
  </si>
  <si>
    <t>Structures intervenant dans le Territoire de Belfort (90)</t>
  </si>
  <si>
    <t>10/15H30</t>
  </si>
  <si>
    <t>100 route de moval
90400 Trevenans</t>
  </si>
  <si>
    <t>Maison d’arrêt de Belfort;Maison d’arrêt de Montbéliard</t>
  </si>
  <si>
    <t>03.81.91.37.12 Montbéliard et 03.84.21.57.55 Belfort</t>
  </si>
  <si>
    <t>Lits d'hospitalisation pour sevrage simple</t>
  </si>
  <si>
    <t>Commune</t>
  </si>
  <si>
    <t>Intervention Nord-Franche-Comte</t>
  </si>
  <si>
    <t>Statut structure</t>
  </si>
  <si>
    <t>Téléphone</t>
  </si>
  <si>
    <t>Site</t>
  </si>
  <si>
    <t>Les lits sont :</t>
  </si>
  <si>
    <t>Unités mobilisées</t>
  </si>
  <si>
    <t>VESOUL</t>
  </si>
  <si>
    <t>GH70 site de LURE
37 avenue Carnot
70200 LURE</t>
  </si>
  <si>
    <t>Non</t>
  </si>
  <si>
    <t>Majeurs</t>
  </si>
  <si>
    <t>Installés au sein d’une même unité</t>
  </si>
  <si>
    <t>Unité d'addictololgie</t>
  </si>
  <si>
    <t>LONS LE SAUNIER</t>
  </si>
  <si>
    <t>Médecine 1, UF d'Addictologie</t>
  </si>
  <si>
    <t>Mineurs;Majeurs</t>
  </si>
  <si>
    <t>Médecine 1 (gastro-entérologie)</t>
  </si>
  <si>
    <t>7 bis rue de parpas
71400 autun</t>
  </si>
  <si>
    <t>f.chambre@ch-autun.fr
http://ch-autun.fr/contact/</t>
  </si>
  <si>
    <t>médecine 2</t>
  </si>
  <si>
    <t>Montceau les Mines</t>
  </si>
  <si>
    <t>galuzot 71300 montceau les mines</t>
  </si>
  <si>
    <t>ch jean bouverie</t>
  </si>
  <si>
    <t>fchambre@ch-montceau71.fr</t>
  </si>
  <si>
    <t>03 86 67 71 63</t>
  </si>
  <si>
    <t>medecine polyvalente</t>
  </si>
  <si>
    <t xml:space="preserve">- interventions auprès d'un public majeur ; 
- lits installés au sein d'une même unité ; 
- unité de médecine polyvalente
</t>
  </si>
  <si>
    <t>HOSPICES CIVILS DE BEAUNE
Avenue Guigone de Salins
21200 BEAUNE</t>
  </si>
  <si>
    <t>Pas de lit dédié, demande auprès du service de rattachement selon disponibilité</t>
  </si>
  <si>
    <t>Unité de médecine 2, service de médecine polyvalente à orientation gastroentérologique et oncologique</t>
  </si>
  <si>
    <t>Hôpital les Chanaux, Bd L Escandes, 71018 Mâcon Cedex</t>
  </si>
  <si>
    <t>Unité d'Addictologie, Unité R3</t>
  </si>
  <si>
    <t>SERVICE DE NEUROLOGIE
3ème ETAGE
CH LOUIS PASTEUR - 39100 DOLE</t>
  </si>
  <si>
    <t>UNITE NEUROLOGIE</t>
  </si>
  <si>
    <t>Ensemble de la région Bourgogne-Franche-Comté</t>
  </si>
  <si>
    <t>120 route nationale
39108 Dole</t>
  </si>
  <si>
    <t>Oui</t>
  </si>
  <si>
    <t>URA</t>
  </si>
  <si>
    <t>Semur-en-Auxois</t>
  </si>
  <si>
    <t>Centre Hospitalier Robert Morlevat
Service Escale
2 Rue du 8 Mai
21 140 Semur en Auxois</t>
  </si>
  <si>
    <t>Service Escale</t>
  </si>
  <si>
    <t>Médecine Polyvalente, Centre Hospitalier de Sens, 1 avenue Pierre de Coubertin, 89100 Sens</t>
  </si>
  <si>
    <t>Disséminés dans différentes unités hospitalières</t>
  </si>
  <si>
    <t>Médecine polyvalente ou médecine de spécialités</t>
  </si>
  <si>
    <t>Centre hospitalier - service de médecine D - 74 Route de Moulins 58300 DECIZE</t>
  </si>
  <si>
    <t>Sont intégrés dans le service de médecine à orientation gastroentérologie</t>
  </si>
  <si>
    <t>Médecine D</t>
  </si>
  <si>
    <t>3 av Pasteur, CH de Semur</t>
  </si>
  <si>
    <t>Centre hospitalier Robert Morlevat,</t>
  </si>
  <si>
    <t>Escale</t>
  </si>
  <si>
    <t>- interventions auprès d'un public majeur ; 
- lits installés au sein d'une même unité ; 
- escale</t>
  </si>
  <si>
    <t>Côte-d’Or (21);Doubs (25);Jura (39);Nièvre (58);Haute-Saône (70);Saône-et-Loire (71);Yonne (89);Territoire de Belfort (90);Ensemble de la région Bourgogne-Franche-Comté</t>
  </si>
  <si>
    <t>EOLE (2 lits sevrage simple et 16 Lits sevrage complexe)</t>
  </si>
  <si>
    <t>- interventions auprès d'un public majeur ; 
- lits installés au sein d'une même unité ; 
- une unité EOLE (2 lits sevrage simple et 16 lits sevrage complexe.</t>
  </si>
  <si>
    <t>bp 189
71300 montceau les mines</t>
  </si>
  <si>
    <t>centre hospitalier de Montceau les Mines</t>
  </si>
  <si>
    <t>médecine polyvalente</t>
  </si>
  <si>
    <t>SERVICE ESCALE
CENTRE HOSPITALIER ROBERT MORLEVAT
21140 SEMUR EN AUXOIS</t>
  </si>
  <si>
    <t>CENTRE HOSPITALIER ROBERT MORLEVAT  SEMUR EN AUXOIS</t>
  </si>
  <si>
    <t>UNITE ESCALE</t>
  </si>
  <si>
    <t xml:space="preserve">- interventions auprès d'un public majeur ; 
- lits installés au sein d'une même unité ; </t>
  </si>
  <si>
    <t>3, quai de l'Hôpital 89300 JOIGNY</t>
  </si>
  <si>
    <t>le même : Cs externes - référent Dr E Maurice (pas d'appel direct, par le secrétariat) 2 lits dédiés sur le pôle H</t>
  </si>
  <si>
    <t>2 unités
USC lit délocalisé de médecine B : 1 lit
Médecine B : 1 lit</t>
  </si>
  <si>
    <t>2 boulevard Verdun - 89000 AUXERRE</t>
  </si>
  <si>
    <t>Hépato-gastrologie</t>
  </si>
  <si>
    <t>Côte-d’Or (21);Ensemble de la région Bourgogne-Franche-Comté</t>
  </si>
  <si>
    <t>Hôpital François Mitterrand
CHU de Dijon
Bâtiment Marion (entrée N°5)
14 Rue Paul Gaffarel, 21000 Dijon</t>
  </si>
  <si>
    <t>Service Hospitalo-Universitaire d'Addictologie</t>
  </si>
  <si>
    <t>CHS Saint-Ylie Jura
URA "Les Hirondelles"
120 Route Nationale
39108 DOLE</t>
  </si>
  <si>
    <t>URA "Les Hirondelles"</t>
  </si>
  <si>
    <t>1 avenue Patrick Guillot
58000 Nevers</t>
  </si>
  <si>
    <t>Aucun lit dédié, sevrage possible au cas par cas</t>
  </si>
  <si>
    <t>Doubs (25);Haute-Saône (70);Territoire de Belfort (90)</t>
  </si>
  <si>
    <t>CPG Héricourt, 3e étage.</t>
  </si>
  <si>
    <t>7 RUE DE LA DEMI LUNE 39140 BLETTERANS</t>
  </si>
  <si>
    <t>MCO</t>
  </si>
  <si>
    <t>Nièvre (58);Saône-et-Loire (71);Ensemble de la région Bourgogne-Franche-Comté</t>
  </si>
  <si>
    <t>71307</t>
  </si>
  <si>
    <t>le galuzot
71307 montceau-les-mines</t>
  </si>
  <si>
    <t>- interventions auprès d'un public majeur ; 
- lits installés au sein d'une même unité ; 
- unité de médecine polyvalente</t>
  </si>
  <si>
    <t>Service de médecine B 
CHI-HC PONTARLIER</t>
  </si>
  <si>
    <t>Service de médecine B</t>
  </si>
  <si>
    <t>Unité Michel Thuillier</t>
  </si>
  <si>
    <t>Unité d'hospitalisation pour soins complexes</t>
  </si>
  <si>
    <t xml:space="preserve">L’unité d’hospitalisation pour soins complexes accueille également des patients pour des sevrages simples </t>
  </si>
  <si>
    <t>GH70 site de LURE
37 avenue Carnot
70 200 LURE</t>
  </si>
  <si>
    <t xml:space="preserve">- intervention auprès de public majeur et mineur ; 
- accueille également des patients pour des sevrages simples </t>
  </si>
  <si>
    <t>montceau les mines</t>
  </si>
  <si>
    <t>BEAUNE</t>
  </si>
  <si>
    <t>SEMUR EN AUXOIS</t>
  </si>
  <si>
    <t>Unité Médicale d'Hospitalisation en Addictologie,
CHS de Sevrey
55 Rue Auguste Champion 
71331 CHALON SUR SAONE Cedex</t>
  </si>
  <si>
    <t>BVD Chamoine Kir 21000 Dijon</t>
  </si>
  <si>
    <t>UNITE ESCALE
CH ROBERT MORLEVAT
21140 SEMUR EN AUXOIS</t>
  </si>
  <si>
    <t>SEVREY</t>
  </si>
  <si>
    <t>71331</t>
  </si>
  <si>
    <t>Unité Emeraude CHS de SEVREY</t>
  </si>
  <si>
    <t>DOLE</t>
  </si>
  <si>
    <t>CHS Saint-Ylie Jura
URA "Les Hirondelles"
120 route Nationale
39108 DOLE</t>
  </si>
  <si>
    <t>BLETTERANS</t>
  </si>
  <si>
    <t>08 85 67 61 73</t>
  </si>
  <si>
    <t>ELSA de la Région</t>
  </si>
  <si>
    <t>Interventions</t>
  </si>
  <si>
    <t>Téléphone de l'ELSA</t>
  </si>
  <si>
    <t>Dans plusieurs services</t>
  </si>
  <si>
    <t>f.chambre@ch-autun.fr</t>
  </si>
  <si>
    <t>Chalon-sur -Saône</t>
  </si>
  <si>
    <t>Dans un seul service</t>
  </si>
  <si>
    <t>- intervention auprès de public majeur ; 
- intervention au Centre Hospitalier de Semur en Auxois</t>
  </si>
  <si>
    <t>DECIZE 58300</t>
  </si>
  <si>
    <t>0380896539</t>
  </si>
  <si>
    <t>- intervention auprès de public majeur ; 
- interventions en urgences, MCO du CH de Semur, Psychiatrie adultes et addictologie</t>
  </si>
  <si>
    <t>namnasri@ch-montceau71.fr</t>
  </si>
  <si>
    <t>- intervention auprès de public majeur ; 
- interventions en urgences, médecine polyvalente, ssr addicto essentiellement et tous les autres services d'hospitalisation</t>
  </si>
  <si>
    <t>89300 JOIGNY YONNE</t>
  </si>
  <si>
    <t>03.86.92.33.77 celui des Consultations Externes  (contact interne par messagerie DPM - DX planning)</t>
  </si>
  <si>
    <t>AUXERRE</t>
  </si>
  <si>
    <t>LE CREUSOT</t>
  </si>
  <si>
    <t>- intervention auprès de public majeur ; 
- interventions dans tous les services de l'hopital</t>
  </si>
  <si>
    <t>PONTARLIER</t>
  </si>
  <si>
    <t>Mineurs</t>
  </si>
  <si>
    <t>Adresse de l'HDJ</t>
  </si>
  <si>
    <t>Téléphone de l'HDJ</t>
  </si>
  <si>
    <t>Horaires</t>
  </si>
  <si>
    <t>Groupe Hospitalier de la Haute-Saône site de LURE
37 avenue Carnot
70200 LURE</t>
  </si>
  <si>
    <t>88 rue Rambuteau 71000 Mâcon</t>
  </si>
  <si>
    <t>Centre Hospitalier Robert Morlevat 
Service Addictologie
2 Rue du 8 Mai
21 140 Semur en Auxois</t>
  </si>
  <si>
    <t>Fermé le lundi.
Ouverture du mardi au vendredi (prise en charge à la demi-journée)</t>
  </si>
  <si>
    <t>3 Av Pasteur 21140 Semur-en-Auxois</t>
  </si>
  <si>
    <t>lundi, mardi, jeudi du 9h à 13h</t>
  </si>
  <si>
    <t>SAINT BONNOT</t>
  </si>
  <si>
    <t>Centre médical de la venerie
58210 champlemy</t>
  </si>
  <si>
    <t>SERVICE DE PSYCHIATRIE
CH ROBERT MORLEVAT 
SEMUR EN AUXOIS</t>
  </si>
  <si>
    <t>MARDI  MERCREDI  JEUDI  VENDREDI    9h-13h</t>
  </si>
  <si>
    <t>DIJON</t>
  </si>
  <si>
    <t>31 rue marceau DIJON</t>
  </si>
  <si>
    <t>association du Renouveau</t>
  </si>
  <si>
    <t>du lundi au vendredi  de 8h45 à 18h00</t>
  </si>
  <si>
    <t>HDJ</t>
  </si>
  <si>
    <t>Etablissements pénitentiers concernés</t>
  </si>
  <si>
    <t>Type d'unité</t>
  </si>
  <si>
    <t>Niveau d'intervention</t>
  </si>
  <si>
    <t>Maison d’arrêt de Lons-le-Saunier</t>
  </si>
  <si>
    <t>Une unité de consultations et de soins ambulatoires (UCSA)</t>
  </si>
  <si>
    <t>De niveau 1 (consultations, prestations et activités ambulatoires)</t>
  </si>
  <si>
    <t>Toutes les SMRA de la région</t>
  </si>
  <si>
    <t>Adresse du SMRA</t>
  </si>
  <si>
    <t>Téléphone du SMRA</t>
  </si>
  <si>
    <t xml:space="preserve">Le SMRA est-il spécialisé sur un type d’addiction ? </t>
  </si>
  <si>
    <t>MIGENNES</t>
  </si>
  <si>
    <t>AIHP-Centre Armançon
18 bis Rue Pierre SEMARD
89400 migennes</t>
  </si>
  <si>
    <t>Alcoolodépendance</t>
  </si>
  <si>
    <t>Centre Hospitalier jean bouverie</t>
  </si>
  <si>
    <t>toutes addictions</t>
  </si>
  <si>
    <t>Centre médical de la Vènerie 58210 saint bonnot</t>
  </si>
  <si>
    <t>non</t>
  </si>
  <si>
    <t>BP 189
71300 montceau les mines</t>
  </si>
  <si>
    <t>03 85 67 60 60</t>
  </si>
  <si>
    <t>toutes les addictions</t>
  </si>
  <si>
    <t>Tout type d'addiction</t>
  </si>
  <si>
    <t>7 rue de la Demi Lune 39140 BLETTERANS</t>
  </si>
  <si>
    <t>NON</t>
  </si>
  <si>
    <t>centre hospitalier BP189
71307 montceau-les-mines</t>
  </si>
  <si>
    <t>pas de spécialisation</t>
  </si>
  <si>
    <t>Toutes les structures accessibles sur accès direct</t>
  </si>
  <si>
    <t xml:space="preserve">Unité Médicale d'Hospitalisation en Addictologie,
CHS de Sevrey
55 Rue Auguste Champion </t>
  </si>
  <si>
    <t xml:space="preserve">secretaddicto@ch-sens.fr </t>
  </si>
  <si>
    <t xml:space="preserve"> secretaddicto@ch-sens.fr </t>
  </si>
  <si>
    <t xml:space="preserve"> secretaddicto@ch-sens.fr</t>
  </si>
  <si>
    <t>03.80.89.64.72</t>
  </si>
  <si>
    <t xml:space="preserve">Centre Hospitalier Robert Morlevat 
Service Addictologie
3 avenue Pasteur </t>
  </si>
  <si>
    <t xml:space="preserve"> 03.80.89.64.72</t>
  </si>
  <si>
    <t>Du lundi au vendredi, prise en charge en demi-journée</t>
  </si>
  <si>
    <t>Intervention auprès public majeur ; 
Intervention auprès d'un public majeur. Durée: quelque semaines ; 
Centre Marceau : en hospitalisation complète ou en hôpital de jour (séjours séquentiels possibles) 
SOLAL : 2ième unité dédiée aux troubles cognitifs complexes liés aux addictions  
Equipe mobile addicto: intervention au domicile (amont et aval)
Consultations externes possibles</t>
  </si>
  <si>
    <t>csapa.vesoul@addictions-france.org</t>
  </si>
  <si>
    <t xml:space="preserve"> 03-84-76-75-75</t>
  </si>
  <si>
    <t>csapa.gray@addictions-france.org</t>
  </si>
  <si>
    <t xml:space="preserve"> https://addictions-france.org</t>
  </si>
  <si>
    <t>Lundi 13h30-17h sauf 1er lundi du mois : 9h-12h30 - Jeudi 13h30-17h</t>
  </si>
  <si>
    <t>Du lundi au mercredi de 08h00 à 12h00 et de 13h30 à 17h00, le jeudi de 08h00 à 12h00 et de 14h00 à 18h00, le Vendredi 10h-12h30/13h30-16h</t>
  </si>
  <si>
    <t>Réalisation de consultations avancées
MSMA – Intervention en Microstructure</t>
  </si>
  <si>
    <t xml:space="preserve"> Jeudi 9h-12h (semaines impaires) </t>
  </si>
  <si>
    <t>Réalisation de consultations avancées
Consultations avancées en CHRS</t>
  </si>
  <si>
    <t xml:space="preserve">Vesoul </t>
  </si>
  <si>
    <t>SAFED – 100 rue Baron Bouvier</t>
  </si>
  <si>
    <t xml:space="preserve"> csapa.vesoul@addictions-france.org</t>
  </si>
  <si>
    <t xml:space="preserve"> Vendredi 14h-16h (semaines paires) </t>
  </si>
  <si>
    <t>Consultations avancées en CHRS</t>
  </si>
  <si>
    <t>CSAPA (consultations avancées)</t>
  </si>
  <si>
    <t>Lundi 13h30-16h30 (1 fois par mois)</t>
  </si>
  <si>
    <t xml:space="preserve">Lundi, jeudi et vendredi : 8h30-12h30 / 13h-17h
Mardi : 8h30-12h30 / 13h-19h (fermeture de 14h à 16h les 2èmes mardis du mois)
Mercredi 13h-16h30 (semaines impaires) </t>
  </si>
  <si>
    <t>- Accueil des familles ; 
- Orientation sur rendez-vous ;
- CJC accessible à la famille et l'entourage ; 
- locaux identiques à ceux du CSAPA. 
Accessible à la famille et l'entourage</t>
  </si>
  <si>
    <t xml:space="preserve">Gray </t>
  </si>
  <si>
    <t>Antenne de Gray  – Centre Hospitalier – 5, rue de l’Arsenal</t>
  </si>
  <si>
    <t xml:space="preserve"> 03-84-64-64-62</t>
  </si>
  <si>
    <t xml:space="preserve">Jeudi 12h30-16h </t>
  </si>
  <si>
    <t xml:space="preserve"> Locaux identiques à ceux du CSAPA ; Orientation sur rendez-vous ; accessible à la famille et l'entourage</t>
  </si>
  <si>
    <t>Unité mobile pouvant servir de lieu d'accueil (déplacement possible sur l’ensemble du territoire Haut-Saônois) ; 
Programme d'échange de seringues ;
Intervention en maraude ; 
Intervention en milieu festif.</t>
  </si>
  <si>
    <t>Centre Hospitalier Universitaire de Besançon</t>
  </si>
  <si>
    <t>Mercredi après midi</t>
  </si>
  <si>
    <t>CHU Site St Jacques, 2 places St Jacques, Besançon, Bâtiment St Elisabeth</t>
  </si>
  <si>
    <t>03-81-91-09-22/
03-81-99-37-04</t>
  </si>
  <si>
    <t>pole-addictologie.nfc@ahs-fc.fr</t>
  </si>
  <si>
    <t>07-68-47-75-41</t>
  </si>
  <si>
    <t>03-81-91-09-22</t>
  </si>
  <si>
    <t xml:space="preserve">Maison de la Santé Rudipontaine 
3A Rue de la Résistance </t>
  </si>
  <si>
    <t>09H – 16H un jeudi sur deux</t>
  </si>
  <si>
    <t>03-84-21-76-02</t>
  </si>
  <si>
    <t xml:space="preserve">3 Rue Victor SELLIER </t>
  </si>
  <si>
    <t>9h à 16h, fermeture les mardi après midi</t>
  </si>
  <si>
    <t>fermé le lundi, 
mardi 9h/20h, mercredi 
jeudi 9h/18h
vendredi 9h/13h</t>
  </si>
  <si>
    <t>03 86 51 46 99 -</t>
  </si>
  <si>
    <t>CHRS Migennes - 29 Av. des Cosmonautes</t>
  </si>
  <si>
    <t>CHRS Sens - 61 Bd du 14 Juillet</t>
  </si>
  <si>
    <t xml:space="preserve"> 03 86 95 10 71</t>
  </si>
  <si>
    <t>1 lundi matin sur 2</t>
  </si>
  <si>
    <t>lieux de permanences : Villeneuve/Yonne et Joigny 
Lycée Janot Curie (Sens), Collège des Champs Plaisants (Sens), Collège Montpezat (Sens), Collège Mallarmé (Sens), Collège Chateaubriand (Villeneuve/Yonne), Collège "André Malraux" (Paron) et Collège Restif de la Bretonne (Pont/Yonne)</t>
  </si>
  <si>
    <t>Lundi au vendredi : 9h à 17h possible sur le CSAPA</t>
  </si>
  <si>
    <t>Pavillon B, 3ème étage.
55 Rue du Dr Jean Michel</t>
  </si>
  <si>
    <t>03.85.77.47.85 et 06.25.75.35.38</t>
  </si>
  <si>
    <t>lundi de 9h à 12h, du mardi au jeudi de 9h à 17h</t>
  </si>
  <si>
    <t>Mardi 9h30 à 12h30 13h à 18h
Vendredi 9h30 à 12h30 et 13h à 16h</t>
  </si>
  <si>
    <t>Mercredi 9h à 12h30 et 13h30 à 16h 30</t>
  </si>
  <si>
    <t>Jeudi 9h à 12h30 et 13h30 à 18h</t>
  </si>
  <si>
    <t>Vendredi 9h à 12h30 et 13h30 à 17h</t>
  </si>
  <si>
    <t>Vendredi 9h12h30 et 13h 16h</t>
  </si>
  <si>
    <t>Lundi et mardi 9h 12h30 et 13h 18h
Mercredi : 9h à 12h
Jeudi 9h 12h30 et 13h 18h
Vendredi 9h12h30 et 13h 16h</t>
  </si>
  <si>
    <t>chde.ual@ght58.fr</t>
  </si>
  <si>
    <t>chan.addictologie@ght58.fr</t>
  </si>
  <si>
    <t>Lundi au vendredi de 9h à 17h</t>
  </si>
  <si>
    <t>CH Pierre Lôo</t>
  </si>
  <si>
    <t xml:space="preserve">Sevrage simple </t>
  </si>
  <si>
    <t>CH Pierre Lôo
51 rue des Hôtelleries</t>
  </si>
  <si>
    <t>La Charité-sur-Loire</t>
  </si>
  <si>
    <t>chpl.direction.secretariat@ght58.fr</t>
  </si>
  <si>
    <t>Maison d'Arrêt de Dijon
72 bis rue d'Auxonne</t>
  </si>
  <si>
    <t>CSAPA à vocation exclusivement pénitentiaire et sommes désignés par l'ARS comme CSAPA référent en milieu pénitentiaire</t>
  </si>
  <si>
    <t>Lundi au vendredi de 9H à 17h30</t>
  </si>
  <si>
    <t>Consultation avancée tous les mardis entre 10h et 16h ( binôme psychologue/travailleur social )</t>
  </si>
  <si>
    <t>Mardi : 10h 16h</t>
  </si>
  <si>
    <t>CSAPA Tivoli 
35, Rue d'Abrantes</t>
  </si>
  <si>
    <t>pamenecier@ch-macon.fr</t>
  </si>
  <si>
    <t>CENTRE HOSPITALIER - CHA (CENTRE HOSPITALIER ROBERT MORLEVAT  SEMUR EN AUXOIS)</t>
  </si>
  <si>
    <r>
      <t xml:space="preserve">Centre Hospitalier - CHA (Centre Hospitalier Robert Morlevat) </t>
    </r>
    <r>
      <rPr>
        <strike/>
        <sz val="11"/>
        <color theme="1"/>
        <rFont val="Calibri"/>
        <family val="2"/>
        <scheme val="minor"/>
      </rPr>
      <t/>
    </r>
  </si>
  <si>
    <t xml:space="preserve"> Dr WALLENHORST sur rdv le mardi matin et et le jeudi matin, Dr CORNET, sur rdv le mardi après-midi et le jeudi après-midi </t>
  </si>
  <si>
    <t>Centre Hospitalier Robert Morlevat
Service Escale
3 avenue pasteur</t>
  </si>
  <si>
    <t>03 80 67 08 33</t>
  </si>
  <si>
    <t>csapa@chlcdijon.fr</t>
  </si>
  <si>
    <t xml:space="preserve">https://www.ch-lachartreuse-dijon-cotedor.fr/ </t>
  </si>
  <si>
    <t>CJC avancées ; Orientation sur rendez-vous ; accessible à la famille et l'entourage</t>
  </si>
  <si>
    <t>Luxueil-les-Bains</t>
  </si>
  <si>
    <t>?</t>
  </si>
  <si>
    <t>Ouvert 330 jours par an</t>
  </si>
  <si>
    <t>CSAPA avec hébergement accueillant des personnes majeures, des couples. Dispositif pour femmes enceintes, parents isolés avec enfants. Accueil en aménagement de peine (placement extérieur). Dispositif d'appartements thérapeutiques.</t>
  </si>
  <si>
    <t xml:space="preserve">1 rue Jules Toutain </t>
  </si>
  <si>
    <t>- Accueil des familles ; 
- Orientation avec et sans rendez-vous ;
- CJC accessible à la famille et l'entourage ; 
Nous portons le dispositif TAPAJ</t>
  </si>
  <si>
    <t xml:space="preserve">Associatif </t>
  </si>
  <si>
    <t>3 RUE CHAMPROND BP 181</t>
  </si>
  <si>
    <t>Consultation spécialisée dans les addictions comportementales</t>
  </si>
  <si>
    <t>Site Minjoz, 3 Boulevard ALexandre Fleming</t>
  </si>
  <si>
    <t>CHU Besançon</t>
  </si>
  <si>
    <t xml:space="preserve">Public </t>
  </si>
  <si>
    <t xml:space="preserve"> CH NOVILLARS, Dans plusieurs services</t>
  </si>
  <si>
    <t>CHU BESANCON/</t>
  </si>
  <si>
    <t>Besancon</t>
  </si>
  <si>
    <t>Novillars</t>
  </si>
  <si>
    <t xml:space="preserve">SMRA Renouveau </t>
  </si>
  <si>
    <t>03 45 34 16 96.</t>
  </si>
  <si>
    <t>Du Lundi au vendredi de 9h  à 12h et de 13h30 à 17h30</t>
  </si>
  <si>
    <t>Intervention à domicile pour sécurisation du parcours  du patient (Amont et/ou aval)
Modalité d'intervention : suivant un parcours d'intervention</t>
  </si>
  <si>
    <t>Immeuble Stratège 1 rue du Dauphiné 21121 Fontaine les Dijon</t>
  </si>
  <si>
    <t xml:space="preserve">Lun au ve : 9h 12h - 14h 17h
</t>
  </si>
  <si>
    <t>Auxonne</t>
  </si>
  <si>
    <t>Centre hospitalier, 5 rue du Château 21130 Auxonne</t>
  </si>
  <si>
    <t xml:space="preserve">Lundi : 14h-17h
</t>
  </si>
  <si>
    <t>Centre d'accueil et d'orientation - foyer Sadi Carnot, 6 rue Sadi Carnot 21000 Dijon</t>
  </si>
  <si>
    <t>Mardi : 9h 11h30</t>
  </si>
  <si>
    <t>consultations avancées</t>
  </si>
  <si>
    <t>Dispositif machureau, 6D boulevard Edmé Nicolas Machureau 21000 Dijon</t>
  </si>
  <si>
    <t>1 Vendredi sur 2: 9h30  11h30</t>
  </si>
  <si>
    <t>10, avenue Jaffelin 21200 Beaune</t>
  </si>
  <si>
    <t>csapa.beaune@addictions-France.org</t>
  </si>
  <si>
    <t>03 80 25 73 67</t>
  </si>
  <si>
    <t xml:space="preserve">Lu : 9h-16h30 / Ma : 9h 14h / Me : 9h 12h / Je : 9h 16h / Ve : 9h 12h </t>
  </si>
  <si>
    <t xml:space="preserve">Mardi : 10h-12h - 12h30-16h </t>
  </si>
  <si>
    <t>Maison de santé- rue Claude Petiet 21400 Châtillon sur Seine</t>
  </si>
  <si>
    <t>Mardi, mercredi, jeudi : 10h - 16h</t>
  </si>
  <si>
    <t>Centre hospitalier, centre de périnatalité, 2 Rue Claude Petiet, 21400 Châtillon sur Seine</t>
  </si>
  <si>
    <t>Association Addictions France</t>
  </si>
  <si>
    <t>Lycée Désiré Nisard,19 rue de Seine 21400 Châtillon sur Seine</t>
  </si>
  <si>
    <t>Mardi : 10h 12h - 12h30 14h30</t>
  </si>
  <si>
    <t>Lycée La Barotte, route de Langres 21400 Châtillon sur Seine</t>
  </si>
  <si>
    <t>Maison de santé, rue Claude Petiet 21400 Châtillon sur Seine</t>
  </si>
  <si>
    <t>Jeudi : semaine paire 10h-16h30, semaine impaire 13h30 17h</t>
  </si>
  <si>
    <t>Centre hospitalier, 1 Rue de l'Hôpital 89200 Avallon</t>
  </si>
  <si>
    <t xml:space="preserve">Association Addictions France </t>
  </si>
  <si>
    <t>Centre hospitalier, Centre de périnatalité : 1 rue de l'Hôpital 89200 Avallon</t>
  </si>
  <si>
    <t>Mardi 9h 17h30 / Vendredi : 9h 17h00 en fonction des RV</t>
  </si>
  <si>
    <t>9, rue Aristide Briand</t>
  </si>
  <si>
    <t>Maison des Associations, 9 rue Aristide Briand</t>
  </si>
  <si>
    <t>Colonne1</t>
  </si>
  <si>
    <t>NFC</t>
  </si>
  <si>
    <t>lundi 8H30 à 12H au Tech'nom
vendredi 13H30 à 18H sur le site de Trévenans</t>
  </si>
  <si>
    <t>CSAPA (Consultations avancées)</t>
  </si>
  <si>
    <t>CSAPA Le Bélem CH La Chartreuse</t>
  </si>
  <si>
    <t xml:space="preserve">CSAPA </t>
  </si>
  <si>
    <t>soins complexes</t>
  </si>
  <si>
    <t>Référence</t>
  </si>
  <si>
    <t>Consultations Hospitalières externes d'addictologie (autre lieu d'intervention)</t>
  </si>
  <si>
    <t>Centre Hospitalier Robert Morlevat, 3 avenue Pasteur</t>
  </si>
  <si>
    <t xml:space="preserve">   </t>
  </si>
  <si>
    <t xml:space="preserve">    </t>
  </si>
  <si>
    <t xml:space="preserve">  </t>
  </si>
  <si>
    <t xml:space="preserve"> </t>
  </si>
  <si>
    <t>Equipe mobile SMRA</t>
  </si>
  <si>
    <t>CSAPA Tivoli</t>
  </si>
  <si>
    <t xml:space="preserve"> 03 86 61 56 89 </t>
  </si>
  <si>
    <t>Champigny sur Yonne</t>
  </si>
  <si>
    <t>Route départementale 70</t>
  </si>
  <si>
    <t>https://keryonnec.com/</t>
  </si>
  <si>
    <t>Clinique Ker Yonnec</t>
  </si>
  <si>
    <t xml:space="preserve"> accueil@keryonnec.com</t>
  </si>
  <si>
    <t>03 86 66 66 66</t>
  </si>
  <si>
    <t>Prise en charge de personnes majeures 
Les lits d'hospitalisation pour sevrage simple sont difféminés dans différentes unités hospitalières</t>
  </si>
  <si>
    <t xml:space="preserve">03 86 66 66 66 </t>
  </si>
  <si>
    <t>csapa.belfort@addictions-france.org
pole-addictologie.nfc@ahs-fc.fr</t>
  </si>
  <si>
    <t>03.84.22.31.39
03 84 21 76 02</t>
  </si>
  <si>
    <t>www.addictions-france.org
www.ahs-fc.fr</t>
  </si>
  <si>
    <t xml:space="preserve"> CH NOVILLARS</t>
  </si>
  <si>
    <t>15 avenue Offenbourg</t>
  </si>
  <si>
    <t>Equipe mobile CSAPA</t>
  </si>
  <si>
    <t xml:space="preserve">CSAPA Oppélia Passerelle 39 </t>
  </si>
  <si>
    <t>07 56 30 12 96</t>
  </si>
  <si>
    <t xml:space="preserve">les lundis de 9h à 18h00, mardis de 9h00 à13h00 et vendredis de 9 h00 à17h 00
</t>
  </si>
  <si>
    <t>Le périmètre d’intervention est le département du Jura. L’équipe mobile peut se mobiliser à la demande des usagers ou de professionnels en lien avec des usagers principalement lorsque ceux-ci sont éloignés des dispositifs existants géographiquement ou qu’ils rencontrent des difficultés pour s’y rendre.
En dehors de ces horaires les personnes peuvent contacter le secrétariat d’Oppelia Passerelle39 au 03 84 24 66 83 qui est ouvert du lundi au vendredi de 9h00 à 17h00.</t>
  </si>
  <si>
    <t xml:space="preserve"> Boutique Jeanne Antide - CSAPA SOLEA</t>
  </si>
  <si>
    <t>03 01 83 03 32</t>
  </si>
  <si>
    <t>addsea.fr</t>
  </si>
  <si>
    <t>Sur calendrier (vendredi matin)</t>
  </si>
  <si>
    <t>- Réalisation de consultations avancées sur Pontarlier, Morteau, Quingey, Chalezeule, Baumes les Dames et Besançon multi-sites ; 
- présence d'une CJC.</t>
  </si>
  <si>
    <t>- Réalisation de consultations avancées sur Ornans, Valdahon, l'Isle-sur-le-Doubs ;
- Dispositif de soin résidentiel sous forme d'appartement relais à Besançon ;
- intervention en milieu festif ;
- Intervention en milieu pénitentiaire à la maison d'arrêt de Besançon et en centre de semi liberté ;
- mise à disposition de matériel de consommation à moindre risque ;
- dispositifs anti-overdose ;
- porteur d'une CJC.</t>
  </si>
  <si>
    <t xml:space="preserve">11 rue d'Alsace </t>
  </si>
  <si>
    <t xml:space="preserve">Mardi de 9h à 20h, mercredi /jeudi de 9h à 18h, vendredi de 9h à 13h &gt; A MODIFIER </t>
  </si>
  <si>
    <t>2 place René Payot</t>
  </si>
  <si>
    <t xml:space="preserve">solea.addsea.fr </t>
  </si>
  <si>
    <t>CSAPA SOLEA</t>
  </si>
  <si>
    <t xml:space="preserve">Lundi et jeudi après-midi / mercredi matin </t>
  </si>
  <si>
    <t>03 81 83 03 32</t>
  </si>
  <si>
    <t xml:space="preserve">du lundi au vendredi de 9h00  à 17h30 </t>
  </si>
  <si>
    <t xml:space="preserve">iri2.docs@ch-sevrey.fr </t>
  </si>
  <si>
    <t>03 80 65 20 47</t>
  </si>
  <si>
    <t>santoline@addictions-sedap.fr</t>
  </si>
  <si>
    <t>8 rue Jules Bury</t>
  </si>
  <si>
    <t>https://www.oppelia.fr/etablissement/passerelle-39-lons-le-saunier/</t>
  </si>
  <si>
    <t>Accueil fixe: mardi de 13h30 à 17h00, mercredi de 8h00 à 12h30, jeudi de 16h30 à 20h00</t>
  </si>
  <si>
    <t>- Permanences d'accueil ou accueil sur rendez-vous
- unité mobile pouvant servir de lieu d'accueil (déplacements sur tout le département du Jura) ; 
- programme d'échange de seringues ;
- intervention en maraude ; 
- mise à disposition de matériel de consommation à moindre risque ;
- proposition de test rapide d'orientation diagnostic (TROD) ; 
- dispositif TAPAJ
- intervention en milieu festif ;
- intervention en milieu pénitentier à la Maison d'arrêt de Lons-le-Saunier.</t>
  </si>
  <si>
    <t>Lundi , Mercredi: 9h00 - 18h00
Mardi: 9h00 - 20h00
jeudi : 13h30 -18h00
Vendredi: 9h00 - 17h30
Secrétariat: tous les jours de 9h00 à 12h30 et de 13h30 à 17h00 (sauf le jeudi matin)</t>
  </si>
  <si>
    <t>- suivi médico-psycho-social : accueil, entretiens, consultations ; 
- mise à disposition de matériel de consommation à moindre risque ;
- proposition de test rapide d'orientation diagnostic (TROD) ; 
- dispositifs anti-overdose à disposition ; 
- présence d'une CJC; 
- présence d'une équipe mobile.</t>
  </si>
  <si>
    <t xml:space="preserve">Morez - Haut de Bienne </t>
  </si>
  <si>
    <t>Le premier et troisième jeudi de chaque mois, de 14h00 à 18h00 (appeler en amont)</t>
  </si>
  <si>
    <t>https://www.oppelia.fr/etablissement/passerelle-39-saint-claude/</t>
  </si>
  <si>
    <t>Lundi : 10h à 12h30 - 13h30 à 16h</t>
  </si>
  <si>
    <t>Lundi: 10h à 12h - 14h à 13h30-17h, Mardi: 9h à 12h - 13h à 18h, Mercredi 9h - 12h - 13h-17h30, jeudi 9h à 12h - 13h à 19h, vendredi: 10h à 12h - 13h à 17h30</t>
  </si>
  <si>
    <t>- suivi médico-psycho-social : accueil, entretiens, consultations ; 
- mise à disposition de matériel de consommation à moindre risque ;
- proposition de test rapide d'orientation diagnostic (TROD) ; 
- dispositifs anti-overdose à disposition ; 
- présence d'une CJC.</t>
  </si>
  <si>
    <t xml:space="preserve">Info jeunesse Jura 17 place Perraud / Passerelle 39, 15 avenue d'Offenbourg </t>
  </si>
  <si>
    <t>Mardi de 14h30 à 18h30 (Passerelle 39); mercredi 09h00 à 16h30 (IJJ)</t>
  </si>
  <si>
    <t xml:space="preserve">- Accueil des jeunes ;
- Accueil de la famille et l'entourage ;
- Orientation sur rendez-vous ; </t>
  </si>
  <si>
    <t>St Claude</t>
  </si>
  <si>
    <t>45 rue des prés (Saint-Claude)</t>
  </si>
  <si>
    <t>Mercredi : 9h à 12h30 - 13h30 à 18h</t>
  </si>
  <si>
    <t>- Accueil des jeunes ; 
- Accueil de la famille et l'entourage ; 
- Orientation sur rendez-vous ;</t>
  </si>
  <si>
    <t>Orgelet</t>
  </si>
  <si>
    <t>3 rue du Mont Orgier</t>
  </si>
  <si>
    <t>CSAPA Oppélia Passerelle 39 - microstructure)</t>
  </si>
  <si>
    <t>03 84 25 68 25</t>
  </si>
  <si>
    <t>https://www.oppelia.fr/etablissement/passerelle-39-orgelet/</t>
  </si>
  <si>
    <t>Le mardi matin de 9h00 à 12h00</t>
  </si>
  <si>
    <t>Présence de l'assistante sociale tous les mardis matin. Les rendez-vous sont gérés par la maison de santé.</t>
  </si>
  <si>
    <t xml:space="preserve">https://www.oppelia.fr/structure/passerelle-39/ </t>
  </si>
  <si>
    <t xml:space="preserve">UTEP.Secretariat@ch-dole.fr / UTEP.Infirmiere@ch-dole.fr </t>
  </si>
  <si>
    <t>pole-addictologie.nfc@afs-fc.fr</t>
  </si>
  <si>
    <t>03.81.99.37.04</t>
  </si>
  <si>
    <t xml:space="preserve">pole-addictologie.nfc@afs-fc.fr </t>
  </si>
  <si>
    <t>CSAPA Le Relais Equinoxe - Association d'Hygiène Sociale de Franche Comté - consultations avancées</t>
  </si>
  <si>
    <t>CSAPA Le Relais Equinoxe - Association d'Hygiène Sociale de Franche Comté</t>
  </si>
  <si>
    <t>CSAPA de Belfort - Association Addictions France
CSAPA Le Relais Equinoxe - Association d'Hygiène Sociale de Franche Comté</t>
  </si>
  <si>
    <t>CH Novillars- Unité Nérée</t>
  </si>
  <si>
    <t>elsa@ch-novillars.fr</t>
  </si>
  <si>
    <t>Hospitalisation temps complet</t>
  </si>
  <si>
    <t>Unité de soins intersectorielles en addictologie pour le Doubs avec admission des patients après consultation de pré admission</t>
  </si>
  <si>
    <t>https://www.ch-macon.fr/patients-usagers/services/addictologie/</t>
  </si>
  <si>
    <t xml:space="preserve">sur RV répartis dans la semaine du lundi au vendredi de 9h00 à 17h00 </t>
  </si>
  <si>
    <t xml:space="preserve">31 rue Marceau </t>
  </si>
  <si>
    <t>Mardi 9h 17h30  / Vendredi : 9h 17h00</t>
  </si>
  <si>
    <t xml:space="preserve">  </t>
  </si>
  <si>
    <t>Le lundi et le jeudi de 8h30h à 12h30 et de 13h à 17h30 sur rendez-vous</t>
  </si>
  <si>
    <t>csapa.macon@addictions-France.org</t>
  </si>
  <si>
    <t>lundide 9 h à 12 h30 et de 13 h 00 à 18 h 30
Mardide 9 h à 12 h 30 et de 13h00 à 18h00
Mercredi de 9 h à 12 h 30 et de 13 h 30 à 16 h 30
Jeudi de 9 h à 12 h 30 et de 13 h 30 à 18 h 00
Vendredi de 9 h à 12 h 30 et de 13 h 30 à 17 h 00</t>
  </si>
  <si>
    <t>csapa.paraylemonial@addictions-France.org</t>
  </si>
  <si>
    <t>cmp.julesverne@ch-novillars.fr</t>
  </si>
  <si>
    <t xml:space="preserve">03 81 40 38 00 </t>
  </si>
  <si>
    <t>Vendredi après-midi</t>
  </si>
  <si>
    <t xml:space="preserve"> Consultation spécialisée en addictologie en vue d'une admission en soins hospitaliers pour sevrage complexe</t>
  </si>
  <si>
    <t>ema.doubs@gmail.com</t>
  </si>
  <si>
    <t>lundi mardi après midi (14h 17h) et mercredi et jeudi toute la journée</t>
  </si>
  <si>
    <t xml:space="preserve">évaluation orientation, maraud travail de rue, visite à domicile et accompagnement physique vers le droit commun et les structure en addictologie, évaluation sociale psychologique et infirmière/orientation </t>
  </si>
  <si>
    <t>hdjaddicto-secret@chu-besancon.fr</t>
  </si>
  <si>
    <t>03.81.21.82.03 / Fax: 03.81.21.82.09</t>
  </si>
  <si>
    <t>CHU - Psychiatrie de l'adulte (chu-besancon.fr)</t>
  </si>
  <si>
    <t>Horaire 9h-16h</t>
  </si>
  <si>
    <t>Adressage par un médecin après avoir complété la feuille d’adressage accessible sur le site du CHU 
Toutes addictions avec ou sans substances 
Objectifs
&gt; Maintien de l’abstinence
&gt; Sevrage simple
&gt; Réduction des consommation
&gt; Evaluation pathologie duelle 
Consultation de préadmission obligatoire
Soins organisé autour d’ateliers de groupe : Atelier psychosocial / éducation thérapeutique au patient / neuropsychologique / relaxation / nutrition / activité physique adapté / thérapie cognitivo-comportementale
Durée de 2 semaines à 3 mois maximum 
Il y a également des consultations addiction comportementales :
-	addictologie-secret@chu-besancon.fr 
-	CHU - Psychiatrie de l'adulte (chu-besancon.fr)
-	secrétariat : 03.81.21.90.08 / Fax: 03.81.21.90.28</t>
  </si>
  <si>
    <t>Comité Inter-Entreprise
2 Rue Eugène Claret</t>
  </si>
  <si>
    <t>Médecine Polyvalente - Médecine de Spécialités, Centre Hospitalier de Sens, 1 avenue Pierre de Coubertin</t>
  </si>
  <si>
    <t>Association Addictions France 21 - consultations avancées</t>
  </si>
  <si>
    <t>CSAPA de Besançon - Association Addictions France - consultations avancées</t>
  </si>
  <si>
    <t>CSAPA SOLEA - ADDSEA Bourgogne Franche Comté - consultations avancées</t>
  </si>
  <si>
    <t>CSAPA CHI-HC - consultations avancées</t>
  </si>
  <si>
    <t>CSAPA de Besançon - Association Addictions France- consultations avancées</t>
  </si>
  <si>
    <t>Association Addictions France en Haute-Saône- consultations avancées</t>
  </si>
  <si>
    <t>CSAPA de l'ADLCA - consultations avancées</t>
  </si>
  <si>
    <t>CSAPA Oppelia Passerelle 39 - consultations avancées</t>
  </si>
  <si>
    <t>CSAPA - Association Addictions France- consultations avancées</t>
  </si>
  <si>
    <t>CSAPA KAIRN71 - SAUVEGARDE71 - consultations avancées</t>
  </si>
  <si>
    <t>CSAPA de Belfort - Association Addictions France - consultations avancées</t>
  </si>
  <si>
    <t>CSAPA - Association Addictions France - consultations avancées</t>
  </si>
  <si>
    <t>CSAPA - Association Addictions France - consultations avancées -  Centre de Périnatalité de Proximité de Tonnerre</t>
  </si>
  <si>
    <t>lundi : 11h - 17h
du mardi au vendredi : 9h - 17h
Consultations Jeunes Consommateurs : Samedi 9h-12h sur RV et sur les horaires du Csapa</t>
  </si>
  <si>
    <t>Lundi au jeudi de 9h à 18h ; Vendredi de 9h à 16h
Consultations Jeunes Consommateurs : Mercredi 14h-17h (salle rdc rue du rhône) et sur les horaires du Csapa</t>
  </si>
  <si>
    <t>Lundi : 14h-17h
Mercredi 9h-12h / 14h-17h
Vendredi matin : 9h -12h</t>
  </si>
  <si>
    <r>
      <t xml:space="preserve">&gt; CAARUD : Lundi : de 10h30 à 14h ( accueil réservé aux femmes ) et de 14h à 17h00 ) ( Accueil mixte ) 
Mercredi : 10h30 à 17h
&gt; Intervention au </t>
    </r>
    <r>
      <rPr>
        <u/>
        <sz val="11"/>
        <rFont val="Calibri"/>
        <family val="2"/>
        <scheme val="minor"/>
      </rPr>
      <t>CSAPA Belem</t>
    </r>
    <r>
      <rPr>
        <sz val="11"/>
        <rFont val="Calibri"/>
        <family val="2"/>
        <scheme val="minor"/>
      </rPr>
      <t xml:space="preserve"> : à la maison d'arrêt de DIJON deux mardis par mois de 14h à 16h
&gt; Permanence devant le </t>
    </r>
    <r>
      <rPr>
        <u/>
        <sz val="11"/>
        <rFont val="Calibri"/>
        <family val="2"/>
        <scheme val="minor"/>
      </rPr>
      <t>CHRS Sadi Carno</t>
    </r>
    <r>
      <rPr>
        <sz val="11"/>
        <rFont val="Calibri"/>
        <family val="2"/>
        <scheme val="minor"/>
      </rPr>
      <t xml:space="preserve">t deux mardis par mois de 16h30 à 18h30 avec le camping-car
&gt; Permanence au </t>
    </r>
    <r>
      <rPr>
        <u/>
        <sz val="11"/>
        <rFont val="Calibri"/>
        <family val="2"/>
        <scheme val="minor"/>
      </rPr>
      <t>CHRS Machureau</t>
    </r>
    <r>
      <rPr>
        <sz val="11"/>
        <rFont val="Calibri"/>
        <family val="2"/>
        <scheme val="minor"/>
      </rPr>
      <t xml:space="preserve"> deux vendredis par mois de 14h à 16h</t>
    </r>
  </si>
  <si>
    <r>
      <t xml:space="preserve">Mercredi : 8h30 à 17h
</t>
    </r>
    <r>
      <rPr>
        <u/>
        <sz val="11"/>
        <rFont val="Calibri"/>
        <family val="2"/>
        <scheme val="minor"/>
      </rPr>
      <t>Permanence à la Maison des Adolescents Jur'Ado</t>
    </r>
    <r>
      <rPr>
        <sz val="11"/>
        <rFont val="Calibri"/>
        <family val="2"/>
        <scheme val="minor"/>
      </rPr>
      <t xml:space="preserve"> : tous les mercredis de 14h à 15h30</t>
    </r>
  </si>
  <si>
    <t xml:space="preserve">- intervention auprès de public majeur ; 
- intervention au CHU :Services d'urgences du CHU : SAU, urgences traumatologiques,  urgences psychiatriques et dans tous les services de médecine, chirurgie, obstétrique et de psychiatrie. 
- interventions au CH Novillars dans les services intra hospitaliers de psychiatrie
</t>
  </si>
  <si>
    <t xml:space="preserve">- Accueil des familles ; 
- Orientation sur rendez-vous ;
- CJC accessible à la famille et l'entourage ; 
Intervention a la Boutique Jeanne Antide (solea)
 EMA (Equipe Mobile en Addictologie)
Nous portons le dispositif TAPAJ &gt; centre de soins et non CJC &gt; concerne solea </t>
  </si>
  <si>
    <t>- intervention auprès de public majeur ; 
- intervention au CHU :Services d'urgences du CHU : SAU, urgences traumatologiques,  urgences psychiatriques et dans tous les services de médecine, chirurgie, obstétrique et de psychiatrie. 
- interventions au CH Novillars dans les services intra hospitaliers de psychiatrie
&gt; 8 lits d'addictologie au 1er septembre 2022 (unité Nérée du Centre Hospitalier de Novillars)</t>
  </si>
  <si>
    <t>Urgences, unité hospitalière de très courte durée
Hépato-gastro-entérologie, médecine infectieuse, chirurgie digestive, hôpital de jour
Cardiologie, urgences et soins intensifs de cardiologie, pneumologie
Néphrologie, hémodialyse, diabétologie, neurologie, VTH, médecine générale, hôpital de jour
Maternité
Intervention possible dans tous les services du CHAN</t>
  </si>
  <si>
    <t>Permanences présentes à Migennes, Saint Florentin, Tonnerre, Toucy, Saint Sauveur, Charny, Bléneau)
- intervention en milieu pénitentiaire à la maison d'arrêt d'Auxerre et au Centre de détention de Joux-la-Ville ;
- mise à disposition de matériel de consommation à moindre risque ;
- proposition de test rapide d'orientation diagnostic (TROD) ; 
- dispositifs anti-overdose à disposition ; 
- présence d'une CJC.
CJC Avancées qui dépendent du CSAPA d'Auxerre : Lycée Louis Davier (Joigny), EREA Jules Verne (Joigny) Collège marie Noel (Joigny), Collège Jacques Prévert (Migennes), Collège Philippe Cousteau (Brienon), Cité scolaire Pierre Larousse (Toucy), Collège Jean-Roch (Courson les carrières), Collège de Puisaye (St Fargeau), Collège Colette (St Sauveur en Puisaye), MFR Toucy, Collège Michel Gondry (Charny)</t>
  </si>
  <si>
    <t xml:space="preserve">Consultations Hospitalières externes de tabacologie
Intervention auprès de tout public  </t>
  </si>
  <si>
    <t xml:space="preserve">ELSA </t>
  </si>
  <si>
    <t>Remplir le formulaire de contact : http://www.ch-montceau71.fr/vous-accueillir/nous-contacter/@ch-montceau71.fr</t>
  </si>
  <si>
    <t>Remplir le formulaire de contact : http://www.ch-montceau71.fr/vous-accueillir/nous-contacter/</t>
  </si>
  <si>
    <t>- unité mobile pouvant servir de lieu d'accueil (déplacements sur tout le territoire Nord-Franche-Comté) ; 
- programme d'échange de seringues ;
- interventions ponctuelles en maraude ; 
- intervention en milieu festif ;
L’unité Mobile est rattachée au CAARUD : kmobile.nfc@ahs-fc.fr, kmobile.nfc@ahs-fc.fr, 06-85-11-08-91 (Semaine impaire ; mardi, mercred et jeudi
Semaine paire : mercredi, jeudi 
10h-16h)</t>
  </si>
  <si>
    <t>EMA (équipe mobile en addictologie)</t>
  </si>
  <si>
    <t>CSAPA La Santoline, SEDAP</t>
  </si>
  <si>
    <t>- unité mobile K-mobile pouvant servir de lieu d'accueil (déplacements sur tout le territoire Nord-Franche-Comté) ; 
- programme d'échange de seringues ;
- interventions ponctuelles en maraude ; 
- intervention en milieu festif ;</t>
  </si>
  <si>
    <t>CHU BESANCON CHU Site St Jacques, 2 places St Jacques, Besançon, Bâtiment St Elisabeth</t>
  </si>
  <si>
    <t>CMP Jules Vernes</t>
  </si>
  <si>
    <t xml:space="preserve">CH de Novillars </t>
  </si>
  <si>
    <t>CAARUD de réduction des risques et des dommages à distance</t>
  </si>
  <si>
    <t>MDA, Place du 8 mai 1945 70300 LUXEUIL-LES-BAINS</t>
  </si>
  <si>
    <t>CSAPA Vesoul</t>
  </si>
  <si>
    <t>MDA Vesoul : 19 rue de la Banque 4ème étage</t>
  </si>
  <si>
    <t>CHRS  4 Rue Thomas Ancel</t>
  </si>
  <si>
    <t>CSAPA Auxerre</t>
  </si>
  <si>
    <t>Consultations Hospitalières externes en tabacologie (autre lieu d'intervention)</t>
  </si>
  <si>
    <t xml:space="preserve">03 85 27 58 58 pour RV infirmiers          03 85 27 53 03 pour RV médecin            03 85 27 57 68 pour RV psychologue
</t>
  </si>
  <si>
    <t>https://www.ch-macon.fr/patients-usagers/services/tabacologie/
https://www.ch-macon.fr/patients-usagers/services/addictologie/</t>
  </si>
  <si>
    <t>sur RV répartis dans la semaine entre infirmiers, médecin et psychologue  du lundi au vendredi de 9h00 à 17h00 
Pour la tabaco : sur RV répartis dans la semaine entre médecin et psychologues</t>
  </si>
  <si>
    <t>tabacologie@ch-macon.fr
pamenecier@ch-macon.fr</t>
  </si>
  <si>
    <t>7bis rue de parpas 
Hôpital les Chanaux, Bd L Escandes</t>
  </si>
  <si>
    <t>CH Autun
Hôpital les Chanaux, Bd L Escandes (Macon)</t>
  </si>
  <si>
    <r>
      <t xml:space="preserve">http://ch-autun.fr/contact/
Macon : </t>
    </r>
    <r>
      <rPr>
        <i/>
        <u/>
        <sz val="11"/>
        <color theme="10"/>
        <rFont val="Calibri"/>
        <family val="2"/>
        <scheme val="minor"/>
      </rPr>
      <t>pamenecier@ch-macon.fr</t>
    </r>
  </si>
  <si>
    <t>03 85 86 84 84
Macon : 03 85 27 53 69</t>
  </si>
  <si>
    <t xml:space="preserve">- interventions auprès d'un public majeur ; 
- lits installés au sein d'une même unité ; 
- unité de médecine 2
Macon : 
'- interventions auprès d'un public majeur ; 
- lits installés au sein d'une même unité ; 
- une unité de médecine polyvalente.
</t>
  </si>
  <si>
    <r>
      <rPr>
        <b/>
        <sz val="11"/>
        <rFont val="Calibri"/>
        <family val="2"/>
      </rPr>
      <t>ELSA Addictologie polyvalente</t>
    </r>
    <r>
      <rPr>
        <sz val="11"/>
        <rFont val="Calibri"/>
        <family val="2"/>
      </rPr>
      <t xml:space="preserve">
Concerne mineurs ou majeurs  (pas d'exclusion
Tous : urgences (SAU, UHCD), MCO (médecine chirurgie et maternité), pédiatrie, psychiatrie;     et SSR, USLD, ehpad
Procédure de prescription de consultation dans DP : Crossway (téléphone réservé aux urgences relatives)
Procédure de rencontre des intoxications éthylique aigues au lendemain de l'ivresse : aux urgences (SAU, UHCD), MCO (médecine chirurgie et maternité), pédiatrie, psychiatrie;
</t>
    </r>
    <r>
      <rPr>
        <b/>
        <sz val="11"/>
        <rFont val="Calibri"/>
        <family val="2"/>
      </rPr>
      <t>ELSA tabacologie</t>
    </r>
    <r>
      <rPr>
        <sz val="11"/>
        <rFont val="Calibri"/>
        <family val="2"/>
      </rPr>
      <t xml:space="preserve">
Intervention auprès de tout public  </t>
    </r>
  </si>
  <si>
    <t>03 85 27 58 58 (ELSA polyvalente)
03 85 27 53 69 (ELSA tabacologie)</t>
  </si>
  <si>
    <r>
      <rPr>
        <b/>
        <sz val="11"/>
        <color rgb="FF0070C0"/>
        <rFont val="Calibri"/>
        <family val="2"/>
        <scheme val="minor"/>
      </rPr>
      <t>ELSA polyvalente</t>
    </r>
    <r>
      <rPr>
        <u/>
        <sz val="11"/>
        <color rgb="FF0070C0"/>
        <rFont val="Calibri"/>
        <family val="2"/>
        <scheme val="minor"/>
      </rPr>
      <t xml:space="preserve"> : https://www.ch-macon.fr/patients-usagers/services/addictologie/
</t>
    </r>
    <r>
      <rPr>
        <sz val="11"/>
        <color rgb="FF0070C0"/>
        <rFont val="Calibri"/>
        <family val="2"/>
        <scheme val="minor"/>
      </rPr>
      <t>Tabacologie</t>
    </r>
    <r>
      <rPr>
        <u/>
        <sz val="11"/>
        <color rgb="FF0070C0"/>
        <rFont val="Calibri"/>
        <family val="2"/>
        <scheme val="minor"/>
      </rPr>
      <t xml:space="preserve"> : https://www.ch-macon.fr/patients-usagers/services/tabacologie/</t>
    </r>
  </si>
  <si>
    <t>pamenecier@ch-macon.fr (ELSA polyvalente)
tabacologie@ch-macon.fr (tabacologie)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</si>
</sst>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31">
    <font>
      <sz val="11"/>
      <color theme="1"/>
      <name val="Calibri"/>
      <family val="2"/>
      <scheme val="minor"/>
    </font>
    <font>
      <sz val="14"/>
      <color theme="1"/>
      <name val="Calibri"/>
      <family val="2"/>
      <scheme val="minor"/>
    </font>
    <font>
      <b/>
      <sz val="14"/>
      <color theme="0"/>
      <name val="Calibri"/>
      <family val="2"/>
      <scheme val="minor"/>
    </font>
    <font>
      <b/>
      <sz val="16"/>
      <color theme="0"/>
      <name val="Calibri"/>
      <family val="2"/>
      <scheme val="minor"/>
    </font>
    <font>
      <b/>
      <sz val="18"/>
      <color theme="0"/>
      <name val="Calibri"/>
      <family val="2"/>
      <scheme val="minor"/>
    </font>
    <font>
      <b/>
      <sz val="14"/>
      <color theme="1"/>
      <name val="Calibri"/>
      <family val="2"/>
      <scheme val="minor"/>
    </font>
    <font>
      <sz val="11"/>
      <color theme="9" tint="0.79998168889431442"/>
      <name val="Calibri"/>
      <family val="2"/>
      <scheme val="minor"/>
    </font>
    <font>
      <b/>
      <sz val="11"/>
      <color theme="1"/>
      <name val="Calibri"/>
      <family val="2"/>
      <scheme val="minor"/>
    </font>
    <font>
      <sz val="8"/>
      <name val="Calibri"/>
      <family val="2"/>
      <scheme val="minor"/>
    </font>
    <font>
      <u/>
      <sz val="11"/>
      <color theme="10"/>
      <name val="Calibri"/>
      <family val="2"/>
      <scheme val="minor"/>
    </font>
    <font>
      <i/>
      <sz val="11"/>
      <color theme="1"/>
      <name val="Calibri"/>
      <family val="2"/>
      <scheme val="minor"/>
    </font>
    <font>
      <i/>
      <sz val="10"/>
      <color theme="1"/>
      <name val="Calibri"/>
      <family val="2"/>
      <scheme val="minor"/>
    </font>
    <font>
      <sz val="11"/>
      <name val="Calibri"/>
      <family val="2"/>
      <scheme val="minor"/>
    </font>
    <font>
      <i/>
      <sz val="11"/>
      <name val="Calibri"/>
      <family val="2"/>
      <scheme val="minor"/>
    </font>
    <font>
      <b/>
      <i/>
      <sz val="11"/>
      <color theme="1"/>
      <name val="Calibri"/>
      <family val="2"/>
      <scheme val="minor"/>
    </font>
    <font>
      <u/>
      <sz val="11"/>
      <name val="Calibri"/>
      <family val="2"/>
      <scheme val="minor"/>
    </font>
    <font>
      <b/>
      <i/>
      <sz val="11"/>
      <color rgb="FFC00000"/>
      <name val="Calibri"/>
      <family val="2"/>
      <scheme val="minor"/>
    </font>
    <font>
      <strike/>
      <sz val="11"/>
      <color theme="1"/>
      <name val="Calibri"/>
      <family val="2"/>
      <scheme val="minor"/>
    </font>
    <font>
      <b/>
      <sz val="11"/>
      <name val="Calibri"/>
      <family val="2"/>
      <scheme val="minor"/>
    </font>
    <font>
      <sz val="11"/>
      <name val="Calibri"/>
      <family val="2"/>
    </font>
    <font>
      <sz val="11"/>
      <name val="Sansation"/>
    </font>
    <font>
      <sz val="10"/>
      <name val="Calibri"/>
      <family val="2"/>
      <scheme val="minor"/>
    </font>
    <font>
      <u/>
      <sz val="11"/>
      <color theme="4"/>
      <name val="Calibri"/>
      <family val="2"/>
      <scheme val="minor"/>
    </font>
    <font>
      <sz val="11"/>
      <color theme="4"/>
      <name val="Calibri"/>
      <family val="2"/>
      <scheme val="minor"/>
    </font>
    <font>
      <u/>
      <sz val="11"/>
      <color theme="4"/>
      <name val="Calibri"/>
      <family val="2"/>
    </font>
    <font>
      <u/>
      <sz val="11"/>
      <color rgb="FF0070C0"/>
      <name val="Calibri"/>
      <family val="2"/>
      <scheme val="minor"/>
    </font>
    <font>
      <i/>
      <u/>
      <sz val="11"/>
      <color theme="4"/>
      <name val="Calibri"/>
      <family val="2"/>
      <scheme val="minor"/>
    </font>
    <font>
      <i/>
      <u/>
      <sz val="11"/>
      <color theme="10"/>
      <name val="Calibri"/>
      <family val="2"/>
      <scheme val="minor"/>
    </font>
    <font>
      <b/>
      <sz val="11"/>
      <name val="Calibri"/>
      <family val="2"/>
    </font>
    <font>
      <sz val="11"/>
      <color rgb="FF0070C0"/>
      <name val="Calibri"/>
      <family val="2"/>
      <scheme val="minor"/>
    </font>
    <font>
      <b/>
      <sz val="11"/>
      <color rgb="FF0070C0"/>
      <name val="Calibri"/>
      <family val="2"/>
      <scheme val="minor"/>
    </font>
  </fonts>
  <fills count="63">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FF"/>
        <bgColor rgb="FF000000"/>
      </patternFill>
    </fill>
    <fill>
      <patternFill patternType="mediumGray">
        <fgColor theme="0" tint="-0.34998626667073579"/>
        <bgColor indexed="65"/>
      </patternFill>
    </fill>
    <fill>
      <patternFill patternType="solid">
        <fgColor rgb="FF7030A0"/>
        <bgColor indexed="64"/>
      </patternFill>
    </fill>
    <fill>
      <patternFill patternType="solid">
        <fgColor rgb="FFDCC5ED"/>
        <bgColor indexed="64"/>
      </patternFill>
    </fill>
    <fill>
      <patternFill patternType="lightUp">
        <fgColor theme="0"/>
        <bgColor theme="0" tint="-0.14996795556505021"/>
      </patternFill>
    </fill>
    <fill>
      <patternFill patternType="solid">
        <fgColor rgb="FFFDF0E9"/>
        <bgColor theme="0"/>
      </patternFill>
    </fill>
    <fill>
      <patternFill patternType="solid">
        <fgColor rgb="FFE4D2F2"/>
        <bgColor indexed="64"/>
      </patternFill>
    </fill>
    <fill>
      <patternFill patternType="solid">
        <fgColor rgb="FFFFFFD1"/>
        <bgColor indexed="64"/>
      </patternFill>
    </fill>
    <fill>
      <patternFill patternType="solid">
        <fgColor rgb="FFE4F0DC"/>
        <bgColor indexed="64"/>
      </patternFill>
    </fill>
    <fill>
      <patternFill patternType="solid">
        <fgColor rgb="FFCCECFF"/>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rgb="FFFFCCCC"/>
        <bgColor indexed="64"/>
      </patternFill>
    </fill>
    <fill>
      <patternFill patternType="solid">
        <fgColor rgb="FFFDF0E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CCECFF"/>
        <bgColor theme="0"/>
      </patternFill>
    </fill>
    <fill>
      <patternFill patternType="lightUp">
        <fgColor theme="0"/>
        <bgColor rgb="FFCCECFF"/>
      </patternFill>
    </fill>
    <fill>
      <patternFill patternType="solid">
        <fgColor theme="8" tint="0.39997558519241921"/>
        <bgColor theme="0"/>
      </patternFill>
    </fill>
    <fill>
      <patternFill patternType="solid">
        <fgColor theme="3" tint="0.79998168889431442"/>
        <bgColor theme="0"/>
      </patternFill>
    </fill>
    <fill>
      <patternFill patternType="solid">
        <fgColor rgb="FFFFCCCC"/>
        <bgColor theme="0"/>
      </patternFill>
    </fill>
    <fill>
      <patternFill patternType="solid">
        <fgColor rgb="FFE4D2F2"/>
        <bgColor theme="0"/>
      </patternFill>
    </fill>
    <fill>
      <patternFill patternType="solid">
        <fgColor theme="7" tint="0.59999389629810485"/>
        <bgColor theme="0"/>
      </patternFill>
    </fill>
    <fill>
      <patternFill patternType="solid">
        <fgColor rgb="FFFFFFD1"/>
        <bgColor theme="0"/>
      </patternFill>
    </fill>
    <fill>
      <patternFill patternType="solid">
        <fgColor theme="5" tint="0.59999389629810485"/>
        <bgColor theme="0"/>
      </patternFill>
    </fill>
    <fill>
      <patternFill patternType="solid">
        <fgColor theme="9" tint="0.59999389629810485"/>
        <bgColor theme="0"/>
      </patternFill>
    </fill>
    <fill>
      <patternFill patternType="solid">
        <fgColor rgb="FFCCECFF"/>
        <bgColor rgb="FF000000"/>
      </patternFill>
    </fill>
    <fill>
      <patternFill patternType="solid">
        <fgColor theme="0"/>
        <bgColor theme="0"/>
      </patternFill>
    </fill>
    <fill>
      <patternFill patternType="lightUp">
        <fgColor theme="0"/>
        <bgColor rgb="FFE4D2F2"/>
      </patternFill>
    </fill>
    <fill>
      <patternFill patternType="lightUp">
        <fgColor theme="0"/>
        <bgColor theme="0"/>
      </patternFill>
    </fill>
    <fill>
      <patternFill patternType="solid">
        <fgColor theme="0"/>
        <bgColor rgb="FF000000"/>
      </patternFill>
    </fill>
    <fill>
      <patternFill patternType="solid">
        <fgColor rgb="FFFFCCCC"/>
        <bgColor rgb="FF000000"/>
      </patternFill>
    </fill>
    <fill>
      <patternFill patternType="solid">
        <fgColor rgb="FFFFCCCC"/>
        <bgColor rgb="FFFFFFFF"/>
      </patternFill>
    </fill>
    <fill>
      <patternFill patternType="solid">
        <fgColor rgb="FFFDF0E9"/>
        <bgColor rgb="FFFFFFFF"/>
      </patternFill>
    </fill>
    <fill>
      <patternFill patternType="lightUp">
        <fgColor rgb="FFFFFFFF"/>
        <bgColor rgb="FFD9D9D9"/>
      </patternFill>
    </fill>
    <fill>
      <patternFill patternType="solid">
        <fgColor rgb="FFE4D2F2"/>
        <bgColor rgb="FFFFFFFF"/>
      </patternFill>
    </fill>
    <fill>
      <patternFill patternType="solid">
        <fgColor rgb="FFFFFFD1"/>
        <bgColor rgb="FFFFFFFF"/>
      </patternFill>
    </fill>
    <fill>
      <patternFill patternType="solid">
        <fgColor rgb="FFF8CBAD"/>
        <bgColor rgb="FFFFFFFF"/>
      </patternFill>
    </fill>
    <fill>
      <patternFill patternType="lightUp">
        <fgColor theme="0"/>
        <bgColor rgb="FFFDF0E9"/>
      </patternFill>
    </fill>
    <fill>
      <patternFill patternType="lightUp">
        <fgColor theme="0"/>
        <bgColor theme="2" tint="-9.9978637043366805E-2"/>
      </patternFill>
    </fill>
    <fill>
      <patternFill patternType="solid">
        <fgColor rgb="FFE3E7ED"/>
        <bgColor indexed="64"/>
      </patternFill>
    </fill>
    <fill>
      <patternFill patternType="solid">
        <fgColor rgb="FFE3E7ED"/>
        <bgColor theme="0"/>
      </patternFill>
    </fill>
    <fill>
      <patternFill patternType="lightUp">
        <fgColor theme="0"/>
        <bgColor rgb="FFE3E7ED"/>
      </patternFill>
    </fill>
    <fill>
      <patternFill patternType="solid">
        <fgColor rgb="FFFDF0E9"/>
        <bgColor rgb="FF000000"/>
      </patternFill>
    </fill>
    <fill>
      <patternFill patternType="solid">
        <fgColor theme="5" tint="0.59999389629810485"/>
        <bgColor rgb="FFFFFFFF"/>
      </patternFill>
    </fill>
    <fill>
      <patternFill patternType="solid">
        <fgColor theme="6" tint="0.59999389629810485"/>
        <bgColor indexed="64"/>
      </patternFill>
    </fill>
    <fill>
      <patternFill patternType="solid">
        <fgColor theme="6" tint="0.59999389629810485"/>
        <bgColor theme="0"/>
      </patternFill>
    </fill>
    <fill>
      <patternFill patternType="solid">
        <fgColor theme="8" tint="0.39997558519241921"/>
        <bgColor rgb="FF000000"/>
      </patternFill>
    </fill>
    <fill>
      <patternFill patternType="lightUp">
        <fgColor theme="0"/>
        <bgColor theme="6" tint="0.59999389629810485"/>
      </patternFill>
    </fill>
    <fill>
      <patternFill patternType="solid">
        <fgColor theme="2" tint="-9.9978637043366805E-2"/>
        <bgColor indexed="64"/>
      </patternFill>
    </fill>
    <fill>
      <patternFill patternType="solid">
        <fgColor theme="2" tint="-9.9978637043366805E-2"/>
        <bgColor theme="0"/>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indexed="64"/>
      </left>
      <right style="thin">
        <color theme="4" tint="0.39997558519241921"/>
      </right>
      <top style="thin">
        <color indexed="64"/>
      </top>
      <bottom style="thin">
        <color indexed="64"/>
      </bottom>
      <diagonal/>
    </border>
    <border>
      <left/>
      <right/>
      <top style="thin">
        <color theme="4" tint="0.39997558519241921"/>
      </top>
      <bottom style="thin">
        <color theme="4" tint="0.39997558519241921"/>
      </bottom>
      <diagonal/>
    </border>
  </borders>
  <cellStyleXfs count="2">
    <xf numFmtId="0" fontId="0" fillId="0" borderId="0"/>
    <xf numFmtId="0" fontId="9" fillId="0" borderId="0" applyNumberFormat="0" applyFill="0" applyBorder="0" applyAlignment="0" applyProtection="0"/>
  </cellStyleXfs>
  <cellXfs count="711">
    <xf numFmtId="0" fontId="0" fillId="0" borderId="0" xfId="0"/>
    <xf numFmtId="0" fontId="0" fillId="2" borderId="0" xfId="0" applyFill="1"/>
    <xf numFmtId="0" fontId="0" fillId="2" borderId="5" xfId="0" applyFill="1" applyBorder="1"/>
    <xf numFmtId="0" fontId="0" fillId="2" borderId="6" xfId="0" applyFill="1" applyBorder="1"/>
    <xf numFmtId="0" fontId="1" fillId="2" borderId="5" xfId="0" applyFont="1" applyFill="1" applyBorder="1"/>
    <xf numFmtId="0" fontId="0" fillId="2" borderId="7" xfId="0" applyFill="1" applyBorder="1"/>
    <xf numFmtId="0" fontId="0" fillId="2" borderId="8" xfId="0" applyFill="1" applyBorder="1"/>
    <xf numFmtId="0" fontId="0" fillId="2" borderId="9" xfId="0" applyFill="1" applyBorder="1"/>
    <xf numFmtId="0" fontId="0" fillId="7" borderId="0" xfId="0" applyFill="1"/>
    <xf numFmtId="0" fontId="0" fillId="7" borderId="0" xfId="0" applyFill="1" applyAlignment="1">
      <alignment horizontal="center" vertical="center" wrapText="1"/>
    </xf>
    <xf numFmtId="0" fontId="6" fillId="9" borderId="2" xfId="0" applyFont="1" applyFill="1" applyBorder="1"/>
    <xf numFmtId="0" fontId="6" fillId="9" borderId="3" xfId="0" applyFont="1" applyFill="1" applyBorder="1"/>
    <xf numFmtId="0" fontId="6" fillId="9" borderId="4" xfId="0" applyFont="1" applyFill="1" applyBorder="1"/>
    <xf numFmtId="0" fontId="6" fillId="9" borderId="5" xfId="0" applyFont="1" applyFill="1" applyBorder="1"/>
    <xf numFmtId="0" fontId="6" fillId="9" borderId="0" xfId="0" applyFont="1" applyFill="1"/>
    <xf numFmtId="0" fontId="6" fillId="9" borderId="6" xfId="0" applyFont="1" applyFill="1" applyBorder="1"/>
    <xf numFmtId="0" fontId="0" fillId="9" borderId="6" xfId="0" applyFill="1" applyBorder="1"/>
    <xf numFmtId="0" fontId="6" fillId="9" borderId="9" xfId="0" applyFont="1" applyFill="1" applyBorder="1"/>
    <xf numFmtId="0" fontId="6" fillId="9" borderId="7" xfId="0" applyFont="1" applyFill="1" applyBorder="1"/>
    <xf numFmtId="0" fontId="6" fillId="9" borderId="8" xfId="0" applyFont="1" applyFill="1" applyBorder="1"/>
    <xf numFmtId="0" fontId="0" fillId="10" borderId="0" xfId="0" applyFill="1"/>
    <xf numFmtId="0" fontId="0" fillId="10" borderId="0" xfId="0" applyFill="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0" fillId="0" borderId="1" xfId="0" applyBorder="1" applyAlignment="1">
      <alignment horizontal="left" vertical="center"/>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0" fontId="9" fillId="0" borderId="1" xfId="1" applyBorder="1" applyAlignment="1">
      <alignment horizontal="left" vertical="center" wrapText="1"/>
    </xf>
    <xf numFmtId="0" fontId="0" fillId="12" borderId="1" xfId="0" applyFill="1" applyBorder="1" applyAlignment="1">
      <alignment horizontal="left" vertical="center" wrapText="1"/>
    </xf>
    <xf numFmtId="0" fontId="9" fillId="0" borderId="12" xfId="1" applyBorder="1" applyAlignment="1">
      <alignment horizontal="left" vertical="center" wrapText="1"/>
    </xf>
    <xf numFmtId="0" fontId="0" fillId="12" borderId="12"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left" vertical="center"/>
    </xf>
    <xf numFmtId="0" fontId="9" fillId="2" borderId="1" xfId="1" applyFill="1" applyBorder="1" applyAlignment="1">
      <alignment horizontal="left" vertical="center" wrapText="1"/>
    </xf>
    <xf numFmtId="0" fontId="9" fillId="2" borderId="12" xfId="1" applyFill="1" applyBorder="1" applyAlignment="1">
      <alignment horizontal="left" vertical="center" wrapText="1"/>
    </xf>
    <xf numFmtId="0" fontId="0" fillId="0" borderId="1" xfId="0" applyBorder="1" applyAlignment="1">
      <alignment vertical="center" wrapText="1"/>
    </xf>
    <xf numFmtId="0" fontId="0" fillId="2" borderId="0" xfId="0" applyFill="1" applyAlignment="1">
      <alignment horizontal="left" vertical="center" wrapText="1"/>
    </xf>
    <xf numFmtId="0" fontId="0" fillId="11" borderId="0" xfId="0" applyFill="1" applyAlignment="1">
      <alignment horizontal="left" vertical="center" wrapText="1"/>
    </xf>
    <xf numFmtId="0" fontId="0" fillId="2" borderId="0" xfId="0" applyFill="1" applyAlignment="1">
      <alignment horizontal="left" vertical="center"/>
    </xf>
    <xf numFmtId="0" fontId="0" fillId="11" borderId="0" xfId="0" applyFill="1" applyAlignment="1">
      <alignment horizontal="left" vertical="center"/>
    </xf>
    <xf numFmtId="0" fontId="0" fillId="0" borderId="0" xfId="0" applyAlignment="1">
      <alignment horizontal="left" vertical="center" wrapText="1"/>
    </xf>
    <xf numFmtId="0" fontId="0" fillId="2" borderId="0" xfId="0" applyFill="1" applyAlignment="1">
      <alignment wrapText="1"/>
    </xf>
    <xf numFmtId="0" fontId="0" fillId="14" borderId="0" xfId="0" applyFill="1"/>
    <xf numFmtId="0" fontId="0" fillId="14" borderId="0" xfId="0" applyFill="1" applyAlignment="1">
      <alignment horizontal="center" vertical="center" wrapText="1"/>
    </xf>
    <xf numFmtId="0" fontId="0" fillId="2" borderId="4" xfId="0" applyFill="1" applyBorder="1" applyAlignment="1">
      <alignment horizontal="left" vertical="center" wrapText="1"/>
    </xf>
    <xf numFmtId="0" fontId="0" fillId="11" borderId="10" xfId="0" quotePrefix="1" applyFill="1" applyBorder="1" applyAlignment="1">
      <alignment horizontal="left" vertical="center" wrapText="1"/>
    </xf>
    <xf numFmtId="0" fontId="0" fillId="11" borderId="1" xfId="0" applyFill="1" applyBorder="1" applyAlignment="1">
      <alignment horizontal="left" vertical="center"/>
    </xf>
    <xf numFmtId="0" fontId="0" fillId="11" borderId="1" xfId="0" quotePrefix="1" applyFill="1" applyBorder="1" applyAlignment="1">
      <alignment horizontal="left" vertical="center"/>
    </xf>
    <xf numFmtId="0" fontId="2" fillId="3" borderId="0" xfId="0" applyFont="1" applyFill="1" applyAlignment="1">
      <alignment vertical="center"/>
    </xf>
    <xf numFmtId="0" fontId="0" fillId="2" borderId="10" xfId="0" quotePrefix="1" applyFill="1" applyBorder="1" applyAlignment="1">
      <alignment horizontal="left" vertical="center" wrapText="1"/>
    </xf>
    <xf numFmtId="0" fontId="0" fillId="2" borderId="1" xfId="0" quotePrefix="1" applyFill="1" applyBorder="1" applyAlignment="1">
      <alignment horizontal="left" vertical="center" wrapText="1"/>
    </xf>
    <xf numFmtId="0" fontId="0" fillId="2" borderId="12" xfId="0" quotePrefix="1" applyFill="1" applyBorder="1" applyAlignment="1">
      <alignment horizontal="left" vertical="center" wrapText="1"/>
    </xf>
    <xf numFmtId="0" fontId="0" fillId="0" borderId="1" xfId="0" quotePrefix="1" applyBorder="1" applyAlignment="1">
      <alignment wrapText="1"/>
    </xf>
    <xf numFmtId="0" fontId="0" fillId="11" borderId="12" xfId="0" quotePrefix="1" applyFill="1" applyBorder="1" applyAlignment="1">
      <alignment horizontal="left" vertical="center"/>
    </xf>
    <xf numFmtId="0" fontId="7" fillId="6"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16" borderId="1" xfId="1" applyFont="1" applyFill="1" applyBorder="1" applyAlignment="1">
      <alignment horizontal="center" vertical="center" wrapText="1"/>
    </xf>
    <xf numFmtId="0" fontId="0" fillId="16" borderId="10" xfId="0" quotePrefix="1" applyFill="1" applyBorder="1" applyAlignment="1">
      <alignment horizontal="center" vertical="center" wrapText="1"/>
    </xf>
    <xf numFmtId="0" fontId="9" fillId="16" borderId="12" xfId="1" applyFill="1" applyBorder="1" applyAlignment="1">
      <alignment horizontal="center" vertical="center" wrapText="1"/>
    </xf>
    <xf numFmtId="0" fontId="0" fillId="15" borderId="12" xfId="0" applyFill="1" applyBorder="1" applyAlignment="1">
      <alignment horizontal="center" vertical="center" wrapText="1"/>
    </xf>
    <xf numFmtId="0" fontId="11" fillId="7" borderId="0" xfId="0" applyFont="1" applyFill="1" applyAlignment="1">
      <alignment vertical="center" wrapText="1"/>
    </xf>
    <xf numFmtId="0" fontId="0" fillId="10" borderId="0" xfId="0"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0" fillId="7" borderId="0" xfId="0" applyFill="1" applyAlignment="1">
      <alignment horizontal="center"/>
    </xf>
    <xf numFmtId="0" fontId="0" fillId="2" borderId="0" xfId="0" applyFill="1" applyAlignment="1">
      <alignment horizontal="center"/>
    </xf>
    <xf numFmtId="0" fontId="7" fillId="19" borderId="10" xfId="0" applyFont="1" applyFill="1" applyBorder="1" applyAlignment="1">
      <alignment horizontal="center" vertical="center" wrapText="1"/>
    </xf>
    <xf numFmtId="0" fontId="7" fillId="19" borderId="13" xfId="0" applyFont="1" applyFill="1" applyBorder="1" applyAlignment="1">
      <alignment horizontal="center" vertical="center" wrapText="1"/>
    </xf>
    <xf numFmtId="0" fontId="13" fillId="20" borderId="1" xfId="0" applyFont="1" applyFill="1" applyBorder="1"/>
    <xf numFmtId="0" fontId="10" fillId="21" borderId="1" xfId="0" applyFont="1" applyFill="1" applyBorder="1"/>
    <xf numFmtId="0" fontId="10" fillId="22" borderId="1" xfId="0" applyFont="1" applyFill="1" applyBorder="1"/>
    <xf numFmtId="0" fontId="10" fillId="23" borderId="1" xfId="0" applyFont="1" applyFill="1" applyBorder="1"/>
    <xf numFmtId="0" fontId="10" fillId="24" borderId="1" xfId="0" applyFont="1" applyFill="1" applyBorder="1"/>
    <xf numFmtId="0" fontId="10" fillId="17" borderId="1" xfId="0" applyFont="1" applyFill="1" applyBorder="1"/>
    <xf numFmtId="0" fontId="0" fillId="18" borderId="1" xfId="0" applyFill="1" applyBorder="1"/>
    <xf numFmtId="0" fontId="0" fillId="25" borderId="1" xfId="0" applyFill="1" applyBorder="1"/>
    <xf numFmtId="0" fontId="0" fillId="7" borderId="1" xfId="0" applyFill="1" applyBorder="1"/>
    <xf numFmtId="0" fontId="0" fillId="26" borderId="1" xfId="0" applyFill="1" applyBorder="1"/>
    <xf numFmtId="0" fontId="0" fillId="20" borderId="1" xfId="0" applyFill="1" applyBorder="1" applyAlignment="1">
      <alignment horizontal="center" vertical="center" wrapText="1"/>
    </xf>
    <xf numFmtId="0" fontId="9" fillId="27" borderId="1" xfId="1" applyFill="1" applyBorder="1" applyAlignment="1">
      <alignment horizontal="center" vertical="center" wrapText="1"/>
    </xf>
    <xf numFmtId="0" fontId="0" fillId="20" borderId="12" xfId="0" applyFill="1" applyBorder="1" applyAlignment="1">
      <alignment horizontal="center" vertical="center" wrapText="1"/>
    </xf>
    <xf numFmtId="164" fontId="0" fillId="20" borderId="12" xfId="0" applyNumberFormat="1" applyFill="1" applyBorder="1" applyAlignment="1">
      <alignment horizontal="center" vertical="center" wrapText="1"/>
    </xf>
    <xf numFmtId="0" fontId="0" fillId="27" borderId="10" xfId="0" applyFill="1" applyBorder="1" applyAlignment="1">
      <alignment horizontal="center" vertical="center" wrapText="1"/>
    </xf>
    <xf numFmtId="0" fontId="0" fillId="27" borderId="1" xfId="0" quotePrefix="1" applyFill="1" applyBorder="1" applyAlignment="1">
      <alignment horizontal="center" vertical="center" wrapText="1"/>
    </xf>
    <xf numFmtId="0" fontId="0" fillId="21" borderId="1" xfId="0" applyFill="1" applyBorder="1" applyAlignment="1">
      <alignment horizontal="center" vertical="center" wrapText="1"/>
    </xf>
    <xf numFmtId="0" fontId="0" fillId="22" borderId="1" xfId="0" applyFill="1" applyBorder="1" applyAlignment="1">
      <alignment horizontal="center" vertical="center" wrapText="1"/>
    </xf>
    <xf numFmtId="0" fontId="9" fillId="30" borderId="12" xfId="1" applyFill="1" applyBorder="1" applyAlignment="1">
      <alignment horizontal="center" vertical="center" wrapText="1"/>
    </xf>
    <xf numFmtId="164" fontId="0" fillId="30" borderId="12" xfId="0" applyNumberFormat="1" applyFill="1" applyBorder="1" applyAlignment="1">
      <alignment horizontal="center" vertical="center" wrapText="1"/>
    </xf>
    <xf numFmtId="0" fontId="0" fillId="30" borderId="10" xfId="0" quotePrefix="1" applyFill="1" applyBorder="1" applyAlignment="1">
      <alignment horizontal="center" vertical="center" wrapText="1"/>
    </xf>
    <xf numFmtId="0" fontId="12" fillId="32" borderId="1" xfId="0" applyFont="1" applyFill="1" applyBorder="1" applyAlignment="1">
      <alignment horizontal="center" vertical="center" wrapText="1"/>
    </xf>
    <xf numFmtId="0" fontId="0" fillId="32" borderId="10" xfId="0" quotePrefix="1" applyFill="1" applyBorder="1" applyAlignment="1">
      <alignment horizontal="center" vertical="center" wrapText="1"/>
    </xf>
    <xf numFmtId="0" fontId="12" fillId="33" borderId="1" xfId="1" applyFont="1" applyFill="1" applyBorder="1" applyAlignment="1">
      <alignment horizontal="center" vertical="center" wrapText="1"/>
    </xf>
    <xf numFmtId="0" fontId="9" fillId="36" borderId="1" xfId="1" applyFill="1" applyBorder="1" applyAlignment="1">
      <alignment horizontal="center" vertical="center" wrapText="1"/>
    </xf>
    <xf numFmtId="0" fontId="9" fillId="36" borderId="12" xfId="1" applyFill="1" applyBorder="1" applyAlignment="1">
      <alignment horizontal="center" vertical="center" wrapText="1"/>
    </xf>
    <xf numFmtId="0" fontId="12" fillId="27" borderId="1" xfId="0" applyFont="1" applyFill="1" applyBorder="1" applyAlignment="1">
      <alignment horizontal="center" vertical="center" wrapText="1"/>
    </xf>
    <xf numFmtId="0" fontId="9" fillId="27" borderId="12" xfId="1" applyFill="1" applyBorder="1" applyAlignment="1">
      <alignment horizontal="center" vertical="center" wrapText="1"/>
    </xf>
    <xf numFmtId="164" fontId="0" fillId="27" borderId="12" xfId="0" applyNumberFormat="1" applyFill="1" applyBorder="1" applyAlignment="1">
      <alignment horizontal="center" vertical="center" wrapText="1"/>
    </xf>
    <xf numFmtId="0" fontId="0" fillId="27" borderId="12" xfId="0" applyFill="1" applyBorder="1" applyAlignment="1">
      <alignment horizontal="center" vertical="center" wrapText="1"/>
    </xf>
    <xf numFmtId="0" fontId="12" fillId="27" borderId="12" xfId="0" applyFont="1" applyFill="1" applyBorder="1" applyAlignment="1">
      <alignment horizontal="center" vertical="center" wrapText="1"/>
    </xf>
    <xf numFmtId="0" fontId="0" fillId="27" borderId="10" xfId="0" quotePrefix="1" applyFill="1" applyBorder="1" applyAlignment="1">
      <alignment horizontal="center" vertical="center" wrapText="1"/>
    </xf>
    <xf numFmtId="0" fontId="0" fillId="20" borderId="10" xfId="0" applyFill="1" applyBorder="1" applyAlignment="1">
      <alignment horizontal="center" vertical="center" wrapText="1"/>
    </xf>
    <xf numFmtId="0" fontId="9" fillId="29" borderId="1" xfId="1" applyFill="1" applyBorder="1" applyAlignment="1">
      <alignment horizontal="center" vertical="center" wrapText="1"/>
    </xf>
    <xf numFmtId="164" fontId="0" fillId="29" borderId="12" xfId="0" applyNumberFormat="1" applyFill="1" applyBorder="1" applyAlignment="1">
      <alignment horizontal="center" vertical="center" wrapText="1"/>
    </xf>
    <xf numFmtId="0" fontId="0" fillId="29" borderId="10" xfId="0" quotePrefix="1" applyFill="1" applyBorder="1" applyAlignment="1">
      <alignment horizontal="center" vertical="center" wrapText="1"/>
    </xf>
    <xf numFmtId="0" fontId="12" fillId="23" borderId="1" xfId="0" applyFont="1" applyFill="1" applyBorder="1" applyAlignment="1">
      <alignment horizontal="center" vertical="center" wrapText="1"/>
    </xf>
    <xf numFmtId="0" fontId="0" fillId="5" borderId="2" xfId="0" applyFill="1" applyBorder="1"/>
    <xf numFmtId="0" fontId="0" fillId="5" borderId="3" xfId="0" applyFill="1" applyBorder="1"/>
    <xf numFmtId="0" fontId="0" fillId="5" borderId="5" xfId="0" applyFill="1" applyBorder="1"/>
    <xf numFmtId="0" fontId="14" fillId="5" borderId="0" xfId="0" applyFont="1" applyFill="1"/>
    <xf numFmtId="0" fontId="10" fillId="5" borderId="0" xfId="0" applyFont="1" applyFill="1"/>
    <xf numFmtId="0" fontId="0" fillId="5" borderId="0" xfId="0" applyFill="1"/>
    <xf numFmtId="0" fontId="0" fillId="5" borderId="7" xfId="0" applyFill="1" applyBorder="1"/>
    <xf numFmtId="0" fontId="0" fillId="5" borderId="8" xfId="0" applyFill="1" applyBorder="1"/>
    <xf numFmtId="0" fontId="0" fillId="5" borderId="4" xfId="0" applyFill="1" applyBorder="1"/>
    <xf numFmtId="0" fontId="10" fillId="5" borderId="6" xfId="0" applyFont="1" applyFill="1" applyBorder="1"/>
    <xf numFmtId="0" fontId="0" fillId="5" borderId="6" xfId="0" applyFill="1" applyBorder="1"/>
    <xf numFmtId="0" fontId="0" fillId="5" borderId="9" xfId="0" applyFill="1" applyBorder="1"/>
    <xf numFmtId="0" fontId="12" fillId="34" borderId="1" xfId="1" applyFont="1" applyFill="1" applyBorder="1" applyAlignment="1">
      <alignment horizontal="center" vertical="center" wrapText="1"/>
    </xf>
    <xf numFmtId="0" fontId="12" fillId="34"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33" borderId="1" xfId="0" applyFont="1" applyFill="1" applyBorder="1" applyAlignment="1">
      <alignment horizontal="center" vertical="center" wrapText="1"/>
    </xf>
    <xf numFmtId="0" fontId="12" fillId="16" borderId="1" xfId="1" applyFont="1" applyFill="1" applyBorder="1" applyAlignment="1">
      <alignment horizontal="center" vertical="center" wrapText="1"/>
    </xf>
    <xf numFmtId="0" fontId="12" fillId="31" borderId="1" xfId="0" applyFont="1" applyFill="1" applyBorder="1" applyAlignment="1">
      <alignment horizontal="center" vertical="center" wrapText="1"/>
    </xf>
    <xf numFmtId="0" fontId="12" fillId="31" borderId="10" xfId="0" applyFont="1" applyFill="1" applyBorder="1" applyAlignment="1">
      <alignment horizontal="center" vertical="center" wrapText="1"/>
    </xf>
    <xf numFmtId="0" fontId="10" fillId="7" borderId="0" xfId="0" applyFont="1" applyFill="1"/>
    <xf numFmtId="0" fontId="10" fillId="2" borderId="0" xfId="0" applyFont="1" applyFill="1"/>
    <xf numFmtId="0" fontId="0" fillId="38" borderId="0" xfId="0" applyFill="1" applyBorder="1" applyAlignment="1">
      <alignment horizontal="center" vertical="center" wrapText="1"/>
    </xf>
    <xf numFmtId="0" fontId="0" fillId="7" borderId="0" xfId="0" applyFill="1"/>
    <xf numFmtId="0" fontId="0" fillId="15" borderId="10" xfId="0" applyFill="1" applyBorder="1" applyAlignment="1">
      <alignment horizontal="center" vertical="center" wrapText="1"/>
    </xf>
    <xf numFmtId="0" fontId="0" fillId="31" borderId="10" xfId="0" applyFill="1" applyBorder="1" applyAlignment="1">
      <alignment horizontal="center" vertical="center" wrapText="1"/>
    </xf>
    <xf numFmtId="0" fontId="0" fillId="2" borderId="0" xfId="0" applyFill="1"/>
    <xf numFmtId="0" fontId="0" fillId="7" borderId="0" xfId="0" applyFill="1"/>
    <xf numFmtId="0" fontId="0" fillId="23" borderId="1" xfId="0" applyFill="1" applyBorder="1" applyAlignment="1">
      <alignment horizontal="center" vertical="center" wrapText="1"/>
    </xf>
    <xf numFmtId="0" fontId="9" fillId="31" borderId="12" xfId="1" applyFill="1" applyBorder="1" applyAlignment="1">
      <alignment horizontal="center" vertical="center" wrapText="1"/>
    </xf>
    <xf numFmtId="164" fontId="0" fillId="31" borderId="12" xfId="0" applyNumberFormat="1" applyFill="1" applyBorder="1" applyAlignment="1">
      <alignment horizontal="center" vertical="center" wrapText="1"/>
    </xf>
    <xf numFmtId="0" fontId="0" fillId="32" borderId="1" xfId="0" applyFill="1" applyBorder="1" applyAlignment="1">
      <alignment horizontal="center" vertical="center" wrapText="1"/>
    </xf>
    <xf numFmtId="0" fontId="9" fillId="32" borderId="12" xfId="1" applyFill="1" applyBorder="1" applyAlignment="1">
      <alignment horizontal="center" vertical="center" wrapText="1"/>
    </xf>
    <xf numFmtId="0" fontId="0" fillId="2" borderId="0" xfId="0" applyFill="1"/>
    <xf numFmtId="0" fontId="0" fillId="7" borderId="0" xfId="0" applyFill="1"/>
    <xf numFmtId="0" fontId="0" fillId="2" borderId="0" xfId="0" applyFill="1"/>
    <xf numFmtId="0" fontId="0" fillId="7" borderId="0" xfId="0" applyFill="1"/>
    <xf numFmtId="0" fontId="0" fillId="2" borderId="0" xfId="0" applyFill="1"/>
    <xf numFmtId="0" fontId="12" fillId="15" borderId="10" xfId="0" applyFont="1" applyFill="1" applyBorder="1" applyAlignment="1">
      <alignment horizontal="center" vertical="center" wrapText="1"/>
    </xf>
    <xf numFmtId="0" fontId="0" fillId="2" borderId="0" xfId="0" applyFill="1"/>
    <xf numFmtId="0" fontId="0" fillId="7" borderId="0" xfId="0" applyFill="1"/>
    <xf numFmtId="0" fontId="0" fillId="2" borderId="0" xfId="0" applyFill="1"/>
    <xf numFmtId="0" fontId="0" fillId="7" borderId="0" xfId="0" applyFill="1"/>
    <xf numFmtId="0" fontId="0" fillId="2" borderId="0" xfId="0" applyFill="1"/>
    <xf numFmtId="0" fontId="0" fillId="7" borderId="0" xfId="0" applyFill="1"/>
    <xf numFmtId="0" fontId="12" fillId="20" borderId="1" xfId="0" applyFont="1" applyFill="1" applyBorder="1" applyAlignment="1">
      <alignment horizontal="center" vertical="center" wrapText="1"/>
    </xf>
    <xf numFmtId="0" fontId="15" fillId="27" borderId="1" xfId="1" applyFont="1" applyFill="1" applyBorder="1" applyAlignment="1">
      <alignment horizontal="center" vertical="center" wrapText="1"/>
    </xf>
    <xf numFmtId="0" fontId="0" fillId="2" borderId="0" xfId="0" applyFill="1"/>
    <xf numFmtId="0" fontId="0" fillId="7" borderId="0" xfId="0" applyFill="1"/>
    <xf numFmtId="0" fontId="0" fillId="2" borderId="0" xfId="0" applyFill="1"/>
    <xf numFmtId="0" fontId="0" fillId="7" borderId="0" xfId="0" applyFill="1"/>
    <xf numFmtId="0" fontId="12" fillId="2" borderId="0" xfId="0" applyFont="1" applyFill="1" applyAlignment="1">
      <alignment horizontal="center" vertical="center"/>
    </xf>
    <xf numFmtId="0" fontId="12" fillId="7" borderId="0" xfId="0" applyFont="1" applyFill="1" applyAlignment="1">
      <alignment horizontal="center" vertical="center"/>
    </xf>
    <xf numFmtId="0" fontId="12" fillId="38" borderId="15" xfId="0" applyFont="1" applyFill="1" applyBorder="1" applyAlignment="1">
      <alignment horizontal="center" vertical="center" wrapText="1"/>
    </xf>
    <xf numFmtId="0" fontId="0" fillId="14" borderId="0" xfId="0" applyFill="1" applyAlignment="1">
      <alignment vertical="center"/>
    </xf>
    <xf numFmtId="0" fontId="0" fillId="2" borderId="0" xfId="0" applyFill="1" applyAlignment="1">
      <alignment vertical="center"/>
    </xf>
    <xf numFmtId="0" fontId="0" fillId="14" borderId="0" xfId="0" applyFill="1" applyAlignment="1">
      <alignment horizontal="center" vertical="center"/>
    </xf>
    <xf numFmtId="0" fontId="0" fillId="17" borderId="0" xfId="0" applyFill="1"/>
    <xf numFmtId="164" fontId="0" fillId="16" borderId="12" xfId="0" applyNumberFormat="1" applyFill="1" applyBorder="1" applyAlignment="1">
      <alignment horizontal="center" vertical="center" wrapText="1"/>
    </xf>
    <xf numFmtId="164" fontId="0" fillId="32" borderId="12" xfId="0" applyNumberFormat="1" applyFill="1" applyBorder="1" applyAlignment="1">
      <alignment horizontal="center" vertical="center" wrapText="1"/>
    </xf>
    <xf numFmtId="0" fontId="7" fillId="6" borderId="11" xfId="0" applyFont="1" applyFill="1" applyBorder="1" applyAlignment="1">
      <alignment horizontal="center" vertical="center" wrapText="1"/>
    </xf>
    <xf numFmtId="0" fontId="0" fillId="14" borderId="0" xfId="0" applyFont="1" applyFill="1" applyAlignment="1">
      <alignment horizontal="center" vertical="center" wrapText="1"/>
    </xf>
    <xf numFmtId="0" fontId="0" fillId="2" borderId="0" xfId="0" applyFont="1" applyFill="1"/>
    <xf numFmtId="0" fontId="0" fillId="38" borderId="15" xfId="0" applyFill="1" applyBorder="1" applyAlignment="1">
      <alignment horizontal="center" vertical="center" wrapText="1"/>
    </xf>
    <xf numFmtId="0" fontId="0" fillId="14" borderId="0" xfId="0" applyFill="1" applyBorder="1"/>
    <xf numFmtId="0" fontId="0" fillId="2" borderId="0" xfId="0" applyFill="1" applyBorder="1"/>
    <xf numFmtId="0" fontId="0" fillId="2" borderId="0" xfId="0" applyFill="1" applyBorder="1" applyAlignment="1">
      <alignment horizontal="center" vertical="center" wrapText="1"/>
    </xf>
    <xf numFmtId="0" fontId="9" fillId="2" borderId="0" xfId="1" applyFill="1" applyBorder="1" applyAlignment="1">
      <alignment horizontal="center" vertical="center" wrapText="1"/>
    </xf>
    <xf numFmtId="164" fontId="0" fillId="2" borderId="0" xfId="0" applyNumberFormat="1" applyFill="1" applyBorder="1" applyAlignment="1">
      <alignment horizontal="center" vertical="center" wrapText="1"/>
    </xf>
    <xf numFmtId="0" fontId="9" fillId="38" borderId="0" xfId="1" applyFill="1" applyBorder="1" applyAlignment="1">
      <alignment horizontal="center" vertical="center" wrapText="1"/>
    </xf>
    <xf numFmtId="0" fontId="0" fillId="40" borderId="0" xfId="0" applyFill="1" applyBorder="1" applyAlignment="1">
      <alignment horizontal="center" vertical="center" wrapText="1"/>
    </xf>
    <xf numFmtId="0" fontId="0" fillId="38" borderId="0" xfId="0" quotePrefix="1" applyFill="1" applyBorder="1" applyAlignment="1">
      <alignment horizontal="center" vertical="center" wrapText="1"/>
    </xf>
    <xf numFmtId="164" fontId="0" fillId="41" borderId="0" xfId="0" applyNumberFormat="1" applyFill="1" applyBorder="1" applyAlignment="1">
      <alignment horizontal="center" vertical="center" wrapText="1"/>
    </xf>
    <xf numFmtId="0" fontId="0" fillId="41" borderId="0" xfId="0" applyFill="1" applyBorder="1" applyAlignment="1">
      <alignment horizontal="center" vertical="center" wrapText="1"/>
    </xf>
    <xf numFmtId="0" fontId="9" fillId="41" borderId="0" xfId="1" applyFill="1" applyBorder="1" applyAlignment="1">
      <alignment horizontal="center" vertical="center" wrapText="1"/>
    </xf>
    <xf numFmtId="0" fontId="0" fillId="38" borderId="0" xfId="1" applyFont="1" applyFill="1" applyBorder="1" applyAlignment="1">
      <alignment horizontal="center" vertical="center" wrapText="1"/>
    </xf>
    <xf numFmtId="0" fontId="12" fillId="38" borderId="1" xfId="0" applyFont="1" applyFill="1" applyBorder="1" applyAlignment="1">
      <alignment horizontal="center" vertical="center" wrapText="1"/>
    </xf>
    <xf numFmtId="0" fontId="12" fillId="38" borderId="12" xfId="0" applyFont="1" applyFill="1" applyBorder="1" applyAlignment="1">
      <alignment horizontal="center" vertical="center" wrapText="1"/>
    </xf>
    <xf numFmtId="0" fontId="0" fillId="14" borderId="0" xfId="0" applyFill="1" applyAlignment="1">
      <alignment vertical="center" wrapText="1"/>
    </xf>
    <xf numFmtId="0" fontId="0" fillId="2" borderId="0" xfId="0" applyFill="1" applyAlignment="1">
      <alignment vertical="center" wrapText="1"/>
    </xf>
    <xf numFmtId="0" fontId="0" fillId="14" borderId="0" xfId="0" applyFill="1" applyBorder="1" applyAlignment="1">
      <alignment vertical="center" wrapText="1"/>
    </xf>
    <xf numFmtId="0" fontId="0" fillId="2" borderId="0" xfId="0" applyFill="1" applyBorder="1" applyAlignment="1">
      <alignment vertical="center" wrapText="1"/>
    </xf>
    <xf numFmtId="0" fontId="0" fillId="38" borderId="12" xfId="0" applyFill="1" applyBorder="1" applyAlignment="1">
      <alignment horizontal="center" vertical="center" wrapText="1"/>
    </xf>
    <xf numFmtId="0" fontId="16" fillId="14" borderId="0" xfId="0" applyFont="1" applyFill="1" applyAlignment="1">
      <alignment vertical="center" wrapText="1"/>
    </xf>
    <xf numFmtId="0" fontId="16" fillId="2" borderId="0" xfId="0" applyFont="1" applyFill="1" applyAlignment="1">
      <alignment vertical="center" wrapText="1"/>
    </xf>
    <xf numFmtId="0" fontId="12" fillId="38" borderId="16" xfId="0" applyFont="1" applyFill="1" applyBorder="1" applyAlignment="1">
      <alignment horizontal="center" vertical="center"/>
    </xf>
    <xf numFmtId="0" fontId="0" fillId="10" borderId="0" xfId="0" applyFill="1" applyAlignment="1">
      <alignment wrapText="1"/>
    </xf>
    <xf numFmtId="0" fontId="12" fillId="15" borderId="18" xfId="0" applyFont="1" applyFill="1" applyBorder="1" applyAlignment="1">
      <alignment horizontal="center" vertical="center" wrapText="1"/>
    </xf>
    <xf numFmtId="0" fontId="12" fillId="27" borderId="17" xfId="0" applyFont="1" applyFill="1" applyBorder="1" applyAlignment="1">
      <alignment horizontal="center" vertical="center" wrapText="1"/>
    </xf>
    <xf numFmtId="0" fontId="0" fillId="14" borderId="0" xfId="0" applyFill="1" applyAlignment="1">
      <alignment wrapText="1"/>
    </xf>
    <xf numFmtId="0" fontId="12" fillId="38" borderId="5" xfId="0" applyFont="1" applyFill="1" applyBorder="1" applyAlignment="1">
      <alignment horizontal="center" vertical="center" wrapText="1"/>
    </xf>
    <xf numFmtId="0" fontId="0" fillId="38" borderId="6" xfId="0" applyFill="1" applyBorder="1" applyAlignment="1">
      <alignment horizontal="center" vertical="center" wrapText="1"/>
    </xf>
    <xf numFmtId="0" fontId="12" fillId="21" borderId="1" xfId="0" applyFont="1" applyFill="1" applyBorder="1" applyAlignment="1">
      <alignment horizontal="center" vertical="center" wrapText="1"/>
    </xf>
    <xf numFmtId="0" fontId="12" fillId="29" borderId="1" xfId="0" applyFont="1" applyFill="1" applyBorder="1" applyAlignment="1">
      <alignment horizontal="center" vertical="center" wrapText="1"/>
    </xf>
    <xf numFmtId="0" fontId="12" fillId="7" borderId="0" xfId="0" applyFont="1" applyFill="1"/>
    <xf numFmtId="0" fontId="12" fillId="7" borderId="0" xfId="0" applyFont="1" applyFill="1" applyAlignment="1">
      <alignment horizontal="center"/>
    </xf>
    <xf numFmtId="0" fontId="12" fillId="2" borderId="0" xfId="0" applyFont="1" applyFill="1"/>
    <xf numFmtId="0" fontId="12" fillId="2" borderId="0" xfId="0" applyFont="1" applyFill="1" applyAlignment="1">
      <alignment horizontal="center"/>
    </xf>
    <xf numFmtId="0" fontId="18" fillId="6" borderId="1"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2" fillId="16" borderId="12" xfId="1" applyFont="1" applyFill="1" applyBorder="1" applyAlignment="1">
      <alignment horizontal="center" vertical="center" wrapText="1"/>
    </xf>
    <xf numFmtId="0" fontId="12" fillId="22" borderId="1" xfId="0" applyFont="1" applyFill="1" applyBorder="1" applyAlignment="1">
      <alignment horizontal="center" vertical="center" wrapText="1"/>
    </xf>
    <xf numFmtId="0" fontId="12" fillId="23" borderId="12" xfId="0" applyFont="1" applyFill="1" applyBorder="1" applyAlignment="1">
      <alignment horizontal="center" vertical="center" wrapText="1"/>
    </xf>
    <xf numFmtId="0" fontId="12" fillId="35" borderId="1" xfId="0" applyFont="1" applyFill="1" applyBorder="1" applyAlignment="1">
      <alignment horizontal="center" vertical="center" wrapText="1"/>
    </xf>
    <xf numFmtId="0" fontId="12" fillId="35" borderId="1" xfId="1" applyFont="1" applyFill="1" applyBorder="1" applyAlignment="1">
      <alignment horizontal="center" vertical="center" wrapText="1"/>
    </xf>
    <xf numFmtId="0" fontId="12" fillId="23" borderId="10" xfId="0" applyFont="1" applyFill="1" applyBorder="1" applyAlignment="1">
      <alignment horizontal="center" vertical="center" wrapText="1"/>
    </xf>
    <xf numFmtId="0" fontId="12" fillId="16"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0"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36" borderId="1" xfId="0" applyFont="1" applyFill="1" applyBorder="1" applyAlignment="1">
      <alignment horizontal="center" vertical="center" wrapText="1"/>
    </xf>
    <xf numFmtId="0" fontId="12" fillId="36" borderId="1" xfId="1" applyFont="1" applyFill="1" applyBorder="1" applyAlignment="1">
      <alignment horizontal="center" vertical="center" wrapText="1"/>
    </xf>
    <xf numFmtId="0" fontId="12" fillId="32" borderId="14" xfId="0" applyFont="1" applyFill="1" applyBorder="1" applyAlignment="1">
      <alignment horizontal="center" vertical="center" wrapText="1"/>
    </xf>
    <xf numFmtId="0" fontId="12" fillId="20" borderId="14"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2" borderId="12" xfId="0" applyFont="1" applyFill="1" applyBorder="1" applyAlignment="1">
      <alignment horizontal="center" vertical="center" wrapText="1"/>
    </xf>
    <xf numFmtId="0" fontId="19" fillId="44" borderId="1" xfId="0" applyFont="1" applyFill="1" applyBorder="1" applyAlignment="1">
      <alignment horizontal="center" vertical="center" wrapText="1"/>
    </xf>
    <xf numFmtId="0" fontId="12" fillId="36" borderId="12" xfId="0" applyFont="1" applyFill="1" applyBorder="1" applyAlignment="1">
      <alignment horizontal="center" vertical="center" wrapText="1"/>
    </xf>
    <xf numFmtId="0" fontId="12" fillId="36" borderId="12" xfId="1" applyFont="1" applyFill="1" applyBorder="1" applyAlignment="1">
      <alignment horizontal="center" vertical="center" wrapText="1"/>
    </xf>
    <xf numFmtId="0" fontId="12" fillId="16" borderId="0" xfId="0" applyFont="1" applyFill="1" applyBorder="1" applyAlignment="1">
      <alignment horizontal="center" vertical="center" wrapText="1"/>
    </xf>
    <xf numFmtId="0" fontId="12" fillId="24" borderId="12" xfId="0" applyFont="1" applyFill="1" applyBorder="1" applyAlignment="1">
      <alignment horizontal="center" vertical="center" wrapText="1"/>
    </xf>
    <xf numFmtId="0" fontId="12" fillId="22" borderId="12" xfId="0" applyFont="1" applyFill="1" applyBorder="1" applyAlignment="1">
      <alignment horizontal="center" vertical="center" wrapText="1"/>
    </xf>
    <xf numFmtId="0" fontId="19" fillId="20" borderId="1"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2" fillId="24" borderId="1" xfId="0" applyFont="1" applyFill="1" applyBorder="1" applyAlignment="1">
      <alignment horizontal="center" vertical="center" wrapText="1"/>
    </xf>
    <xf numFmtId="164" fontId="12" fillId="27" borderId="1" xfId="0" applyNumberFormat="1" applyFont="1" applyFill="1" applyBorder="1" applyAlignment="1">
      <alignment horizontal="center" vertical="center" wrapText="1"/>
    </xf>
    <xf numFmtId="164" fontId="12" fillId="31" borderId="1" xfId="0" applyNumberFormat="1" applyFont="1" applyFill="1" applyBorder="1" applyAlignment="1">
      <alignment horizontal="center" vertical="center" wrapText="1"/>
    </xf>
    <xf numFmtId="164" fontId="12" fillId="29" borderId="1" xfId="0" applyNumberFormat="1" applyFont="1" applyFill="1" applyBorder="1" applyAlignment="1">
      <alignment horizontal="center" vertical="center" wrapText="1"/>
    </xf>
    <xf numFmtId="164" fontId="12" fillId="30" borderId="1" xfId="0" applyNumberFormat="1" applyFont="1" applyFill="1" applyBorder="1" applyAlignment="1">
      <alignment horizontal="center" vertical="center" wrapText="1"/>
    </xf>
    <xf numFmtId="164" fontId="12" fillId="31" borderId="12" xfId="0" applyNumberFormat="1" applyFont="1" applyFill="1" applyBorder="1" applyAlignment="1">
      <alignment horizontal="center" vertical="center" wrapText="1"/>
    </xf>
    <xf numFmtId="164" fontId="12" fillId="20" borderId="1" xfId="0" applyNumberFormat="1" applyFont="1" applyFill="1" applyBorder="1" applyAlignment="1">
      <alignment horizontal="center" vertical="center" wrapText="1"/>
    </xf>
    <xf numFmtId="164" fontId="12" fillId="27" borderId="12" xfId="0" applyNumberFormat="1" applyFont="1" applyFill="1" applyBorder="1" applyAlignment="1">
      <alignment horizontal="center" vertical="center" wrapText="1"/>
    </xf>
    <xf numFmtId="164" fontId="12" fillId="27" borderId="10" xfId="0" applyNumberFormat="1" applyFont="1" applyFill="1" applyBorder="1" applyAlignment="1">
      <alignment horizontal="center" vertical="center" wrapText="1"/>
    </xf>
    <xf numFmtId="0" fontId="12" fillId="31" borderId="12" xfId="0" applyFont="1" applyFill="1" applyBorder="1" applyAlignment="1">
      <alignment horizontal="center" vertical="center" wrapText="1"/>
    </xf>
    <xf numFmtId="164" fontId="12" fillId="30" borderId="12" xfId="0" applyNumberFormat="1"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5" borderId="12" xfId="0" applyFont="1" applyFill="1" applyBorder="1" applyAlignment="1">
      <alignment horizontal="center" vertical="center" wrapText="1"/>
    </xf>
    <xf numFmtId="164" fontId="12" fillId="29" borderId="12" xfId="0" applyNumberFormat="1" applyFont="1" applyFill="1" applyBorder="1" applyAlignment="1">
      <alignment horizontal="center" vertical="center" wrapText="1"/>
    </xf>
    <xf numFmtId="164" fontId="12" fillId="20" borderId="12" xfId="0" applyNumberFormat="1" applyFont="1" applyFill="1" applyBorder="1" applyAlignment="1">
      <alignment horizontal="center" vertical="center" wrapText="1"/>
    </xf>
    <xf numFmtId="164" fontId="19" fillId="43" borderId="12" xfId="0" applyNumberFormat="1" applyFont="1" applyFill="1" applyBorder="1" applyAlignment="1">
      <alignment horizontal="center" vertical="center" wrapText="1"/>
    </xf>
    <xf numFmtId="164" fontId="19" fillId="44" borderId="12" xfId="0" applyNumberFormat="1" applyFont="1" applyFill="1" applyBorder="1" applyAlignment="1">
      <alignment horizontal="center" vertical="center" wrapText="1"/>
    </xf>
    <xf numFmtId="164" fontId="19" fillId="47" borderId="12" xfId="0" applyNumberFormat="1" applyFont="1" applyFill="1" applyBorder="1" applyAlignment="1">
      <alignment horizontal="center" vertical="center" wrapText="1"/>
    </xf>
    <xf numFmtId="164" fontId="12" fillId="24" borderId="12" xfId="0" applyNumberFormat="1" applyFont="1" applyFill="1" applyBorder="1" applyAlignment="1">
      <alignment horizontal="center" vertical="center" wrapText="1"/>
    </xf>
    <xf numFmtId="164" fontId="12" fillId="37" borderId="12" xfId="0" applyNumberFormat="1" applyFont="1" applyFill="1" applyBorder="1" applyAlignment="1">
      <alignment horizontal="center" vertical="center" wrapText="1"/>
    </xf>
    <xf numFmtId="0" fontId="12" fillId="15" borderId="12"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29" borderId="1" xfId="0" applyFont="1" applyFill="1" applyBorder="1" applyAlignment="1">
      <alignment horizontal="left" vertical="center" wrapText="1"/>
    </xf>
    <xf numFmtId="0" fontId="12" fillId="30" borderId="1" xfId="0" applyFont="1" applyFill="1" applyBorder="1" applyAlignment="1">
      <alignment horizontal="center" vertical="center" wrapText="1"/>
    </xf>
    <xf numFmtId="0" fontId="12" fillId="37" borderId="12" xfId="0" applyFont="1" applyFill="1" applyBorder="1" applyAlignment="1">
      <alignment horizontal="center" vertical="center" wrapText="1"/>
    </xf>
    <xf numFmtId="0" fontId="12" fillId="27" borderId="10" xfId="0" applyFont="1" applyFill="1" applyBorder="1" applyAlignment="1">
      <alignment horizontal="center" vertical="center" wrapText="1"/>
    </xf>
    <xf numFmtId="0" fontId="12" fillId="29" borderId="12" xfId="0" applyFont="1" applyFill="1" applyBorder="1" applyAlignment="1">
      <alignment horizontal="center" vertical="center" wrapText="1"/>
    </xf>
    <xf numFmtId="0" fontId="12" fillId="30" borderId="12" xfId="0" applyFont="1" applyFill="1" applyBorder="1" applyAlignment="1">
      <alignment horizontal="center" vertical="center" wrapText="1"/>
    </xf>
    <xf numFmtId="0" fontId="12" fillId="26" borderId="12" xfId="0" applyFont="1" applyFill="1" applyBorder="1" applyAlignment="1">
      <alignment horizontal="center" vertical="center" wrapText="1"/>
    </xf>
    <xf numFmtId="0" fontId="12" fillId="17" borderId="12" xfId="0" applyFont="1" applyFill="1" applyBorder="1" applyAlignment="1">
      <alignment horizontal="center" vertical="center" wrapText="1"/>
    </xf>
    <xf numFmtId="0" fontId="19" fillId="43" borderId="12" xfId="0" applyFont="1" applyFill="1" applyBorder="1" applyAlignment="1">
      <alignment horizontal="center" vertical="center" wrapText="1"/>
    </xf>
    <xf numFmtId="0" fontId="19" fillId="45" borderId="12" xfId="0" applyFont="1" applyFill="1" applyBorder="1" applyAlignment="1">
      <alignment horizontal="center" vertical="center" wrapText="1"/>
    </xf>
    <xf numFmtId="0" fontId="12" fillId="20" borderId="1" xfId="0" applyFont="1" applyFill="1" applyBorder="1" applyAlignment="1">
      <alignment horizontal="center" wrapText="1"/>
    </xf>
    <xf numFmtId="0" fontId="12" fillId="27" borderId="1" xfId="1" applyFont="1" applyFill="1" applyBorder="1" applyAlignment="1">
      <alignment horizontal="center" vertical="center" wrapText="1"/>
    </xf>
    <xf numFmtId="0" fontId="12" fillId="7" borderId="0" xfId="0" applyFont="1" applyFill="1" applyAlignment="1">
      <alignment vertical="center"/>
    </xf>
    <xf numFmtId="0" fontId="12" fillId="2" borderId="0" xfId="0" applyFont="1" applyFill="1" applyAlignment="1">
      <alignment vertical="center"/>
    </xf>
    <xf numFmtId="0" fontId="12" fillId="30" borderId="1" xfId="0" applyFont="1" applyFill="1" applyBorder="1" applyAlignment="1">
      <alignment horizontal="center" wrapText="1"/>
    </xf>
    <xf numFmtId="0" fontId="12" fillId="16" borderId="10" xfId="0" quotePrefix="1" applyFont="1" applyFill="1" applyBorder="1" applyAlignment="1">
      <alignment horizontal="center" vertical="center" wrapText="1"/>
    </xf>
    <xf numFmtId="0" fontId="12" fillId="32" borderId="10" xfId="0" quotePrefix="1" applyFont="1" applyFill="1" applyBorder="1" applyAlignment="1">
      <alignment horizontal="center" vertical="center" wrapText="1"/>
    </xf>
    <xf numFmtId="0" fontId="12" fillId="29" borderId="10" xfId="0" quotePrefix="1" applyFont="1" applyFill="1" applyBorder="1" applyAlignment="1">
      <alignment horizontal="center" vertical="center" wrapText="1"/>
    </xf>
    <xf numFmtId="0" fontId="12" fillId="30" borderId="10" xfId="0" quotePrefix="1" applyFont="1" applyFill="1" applyBorder="1" applyAlignment="1">
      <alignment horizontal="center" vertical="center" wrapText="1"/>
    </xf>
    <xf numFmtId="0" fontId="12" fillId="20" borderId="10" xfId="0" quotePrefix="1" applyFont="1" applyFill="1" applyBorder="1" applyAlignment="1">
      <alignment horizontal="center" vertical="center" wrapText="1"/>
    </xf>
    <xf numFmtId="0" fontId="12" fillId="34" borderId="1" xfId="0" quotePrefix="1" applyFont="1" applyFill="1" applyBorder="1" applyAlignment="1">
      <alignment horizontal="center" vertical="center" wrapText="1"/>
    </xf>
    <xf numFmtId="0" fontId="12" fillId="34" borderId="10" xfId="0" quotePrefix="1" applyFont="1" applyFill="1" applyBorder="1" applyAlignment="1">
      <alignment horizontal="center" vertical="center" wrapText="1"/>
    </xf>
    <xf numFmtId="0" fontId="12" fillId="35" borderId="10" xfId="0" quotePrefix="1" applyFont="1" applyFill="1" applyBorder="1" applyAlignment="1">
      <alignment horizontal="center" vertical="center" wrapText="1"/>
    </xf>
    <xf numFmtId="0" fontId="12" fillId="29" borderId="1" xfId="0" quotePrefix="1" applyFont="1" applyFill="1" applyBorder="1" applyAlignment="1">
      <alignment horizontal="center" vertical="center" wrapText="1"/>
    </xf>
    <xf numFmtId="0" fontId="12" fillId="30" borderId="1" xfId="0" quotePrefix="1" applyFont="1" applyFill="1" applyBorder="1" applyAlignment="1">
      <alignment horizontal="center" vertical="center" wrapText="1"/>
    </xf>
    <xf numFmtId="0" fontId="12" fillId="27" borderId="1" xfId="0" quotePrefix="1" applyFont="1" applyFill="1" applyBorder="1" applyAlignment="1">
      <alignment horizontal="center" vertical="center" wrapText="1"/>
    </xf>
    <xf numFmtId="0" fontId="12" fillId="37" borderId="10" xfId="0" quotePrefix="1" applyFont="1" applyFill="1" applyBorder="1" applyAlignment="1">
      <alignment horizontal="center" vertical="center" wrapText="1"/>
    </xf>
    <xf numFmtId="0" fontId="12" fillId="36" borderId="1" xfId="0" quotePrefix="1" applyFont="1" applyFill="1" applyBorder="1" applyAlignment="1">
      <alignment horizontal="center" vertical="center" wrapText="1"/>
    </xf>
    <xf numFmtId="0" fontId="12" fillId="27" borderId="10" xfId="0" quotePrefix="1" applyFont="1" applyFill="1" applyBorder="1" applyAlignment="1">
      <alignment horizontal="center" vertical="center" wrapText="1"/>
    </xf>
    <xf numFmtId="0" fontId="12" fillId="32" borderId="11" xfId="0" quotePrefix="1" applyFont="1" applyFill="1" applyBorder="1" applyAlignment="1">
      <alignment horizontal="center" vertical="center" wrapText="1"/>
    </xf>
    <xf numFmtId="0" fontId="12" fillId="27" borderId="11"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2" borderId="1" xfId="0" quotePrefix="1" applyFont="1" applyFill="1" applyBorder="1" applyAlignment="1">
      <alignment horizontal="center" vertical="center" wrapText="1"/>
    </xf>
    <xf numFmtId="0" fontId="12" fillId="27" borderId="7" xfId="0" applyFont="1" applyFill="1" applyBorder="1" applyAlignment="1">
      <alignment horizontal="center" vertical="center" wrapText="1"/>
    </xf>
    <xf numFmtId="0" fontId="12" fillId="16" borderId="1" xfId="0" quotePrefix="1" applyFont="1" applyFill="1" applyBorder="1" applyAlignment="1">
      <alignment horizontal="center" vertical="center" wrapText="1"/>
    </xf>
    <xf numFmtId="0" fontId="12" fillId="32" borderId="12" xfId="0" quotePrefix="1" applyFont="1" applyFill="1" applyBorder="1" applyAlignment="1">
      <alignment horizontal="center" vertical="center" wrapText="1"/>
    </xf>
    <xf numFmtId="0" fontId="12" fillId="51" borderId="1" xfId="0" applyFont="1" applyFill="1" applyBorder="1" applyAlignment="1">
      <alignment horizontal="center" vertical="center" wrapText="1"/>
    </xf>
    <xf numFmtId="0" fontId="12" fillId="52" borderId="1" xfId="0" applyFont="1" applyFill="1" applyBorder="1" applyAlignment="1">
      <alignment horizontal="center" vertical="center" wrapText="1"/>
    </xf>
    <xf numFmtId="164" fontId="12" fillId="52" borderId="1" xfId="0" applyNumberFormat="1" applyFont="1" applyFill="1" applyBorder="1" applyAlignment="1">
      <alignment horizontal="center" vertical="center" wrapText="1"/>
    </xf>
    <xf numFmtId="0" fontId="12" fillId="52" borderId="12" xfId="0" applyFont="1" applyFill="1" applyBorder="1" applyAlignment="1">
      <alignment horizontal="center" vertical="center" wrapText="1"/>
    </xf>
    <xf numFmtId="164" fontId="12" fillId="52" borderId="12" xfId="0" applyNumberFormat="1" applyFont="1" applyFill="1" applyBorder="1" applyAlignment="1">
      <alignment horizontal="center" vertical="center" wrapText="1"/>
    </xf>
    <xf numFmtId="0" fontId="12" fillId="52" borderId="10" xfId="0" applyFont="1" applyFill="1" applyBorder="1" applyAlignment="1">
      <alignment horizontal="center" vertical="center" wrapText="1"/>
    </xf>
    <xf numFmtId="0" fontId="12" fillId="52" borderId="1" xfId="0" quotePrefix="1" applyFont="1" applyFill="1" applyBorder="1" applyAlignment="1">
      <alignment horizontal="center" vertical="center" wrapText="1"/>
    </xf>
    <xf numFmtId="3" fontId="12" fillId="52" borderId="1" xfId="0" applyNumberFormat="1" applyFont="1" applyFill="1" applyBorder="1" applyAlignment="1">
      <alignment horizontal="center" vertical="center" wrapText="1"/>
    </xf>
    <xf numFmtId="0" fontId="12" fillId="52" borderId="10" xfId="0" quotePrefix="1" applyFont="1" applyFill="1" applyBorder="1" applyAlignment="1">
      <alignment horizontal="center" vertical="center" wrapText="1"/>
    </xf>
    <xf numFmtId="0" fontId="12" fillId="51" borderId="12" xfId="0" applyFont="1" applyFill="1" applyBorder="1" applyAlignment="1">
      <alignment horizontal="center" vertical="center" wrapText="1"/>
    </xf>
    <xf numFmtId="0" fontId="22" fillId="52" borderId="1" xfId="1" applyFont="1" applyFill="1" applyBorder="1" applyAlignment="1">
      <alignment horizontal="center" vertical="center" wrapText="1"/>
    </xf>
    <xf numFmtId="0" fontId="22" fillId="52" borderId="12" xfId="1" applyFont="1" applyFill="1" applyBorder="1" applyAlignment="1">
      <alignment horizontal="center" vertical="center" wrapText="1"/>
    </xf>
    <xf numFmtId="0" fontId="22" fillId="53" borderId="1" xfId="0" applyFont="1" applyFill="1" applyBorder="1" applyAlignment="1">
      <alignment horizontal="center" vertical="center" wrapText="1"/>
    </xf>
    <xf numFmtId="0" fontId="22" fillId="53" borderId="12" xfId="0" applyFont="1" applyFill="1" applyBorder="1" applyAlignment="1">
      <alignment horizontal="center" vertical="center" wrapText="1"/>
    </xf>
    <xf numFmtId="0" fontId="22" fillId="51" borderId="1" xfId="0" applyFont="1" applyFill="1" applyBorder="1" applyAlignment="1">
      <alignment horizontal="center" vertical="center" wrapText="1"/>
    </xf>
    <xf numFmtId="164" fontId="22" fillId="52" borderId="12" xfId="0" applyNumberFormat="1" applyFont="1" applyFill="1" applyBorder="1" applyAlignment="1">
      <alignment horizontal="center" vertical="center" wrapText="1"/>
    </xf>
    <xf numFmtId="0" fontId="22" fillId="31" borderId="1" xfId="1" applyFont="1" applyFill="1" applyBorder="1" applyAlignment="1">
      <alignment horizontal="center" vertical="center" wrapText="1"/>
    </xf>
    <xf numFmtId="0" fontId="22" fillId="31" borderId="12" xfId="1" applyFont="1" applyFill="1" applyBorder="1" applyAlignment="1">
      <alignment horizontal="center" vertical="center" wrapText="1"/>
    </xf>
    <xf numFmtId="0" fontId="22" fillId="43" borderId="12" xfId="1" applyFont="1" applyFill="1" applyBorder="1" applyAlignment="1">
      <alignment horizontal="center" vertical="center" wrapText="1"/>
    </xf>
    <xf numFmtId="0" fontId="23" fillId="15" borderId="1" xfId="0" applyFont="1" applyFill="1" applyBorder="1" applyAlignment="1">
      <alignment horizontal="center" vertical="center" wrapText="1"/>
    </xf>
    <xf numFmtId="0" fontId="23" fillId="15" borderId="12" xfId="0" applyFont="1" applyFill="1" applyBorder="1" applyAlignment="1">
      <alignment horizontal="center" vertical="center" wrapText="1"/>
    </xf>
    <xf numFmtId="0" fontId="22" fillId="44" borderId="12" xfId="1" applyFont="1" applyFill="1" applyBorder="1" applyAlignment="1">
      <alignment horizontal="center" vertical="center" wrapText="1"/>
    </xf>
    <xf numFmtId="0" fontId="22" fillId="27" borderId="12" xfId="1" applyFont="1" applyFill="1" applyBorder="1" applyAlignment="1">
      <alignment horizontal="center" vertical="center" wrapText="1"/>
    </xf>
    <xf numFmtId="0" fontId="22" fillId="27" borderId="1" xfId="1" applyFont="1" applyFill="1" applyBorder="1" applyAlignment="1">
      <alignment horizontal="center" vertical="center" wrapText="1"/>
    </xf>
    <xf numFmtId="0" fontId="22" fillId="20" borderId="12" xfId="1" applyFont="1" applyFill="1" applyBorder="1" applyAlignment="1">
      <alignment horizontal="center" vertical="center" wrapText="1"/>
    </xf>
    <xf numFmtId="0" fontId="0" fillId="20" borderId="1" xfId="0" applyFont="1" applyFill="1" applyBorder="1" applyAlignment="1">
      <alignment horizontal="center" vertical="center" wrapText="1"/>
    </xf>
    <xf numFmtId="0" fontId="12" fillId="20" borderId="1" xfId="0" applyFont="1" applyFill="1" applyBorder="1" applyAlignment="1">
      <alignment horizontal="center" vertical="center"/>
    </xf>
    <xf numFmtId="0" fontId="22" fillId="20" borderId="1" xfId="1" applyFont="1" applyFill="1" applyBorder="1" applyAlignment="1">
      <alignment horizontal="center" vertical="center" wrapText="1"/>
    </xf>
    <xf numFmtId="0" fontId="22" fillId="27" borderId="10" xfId="1" applyFont="1" applyFill="1" applyBorder="1" applyAlignment="1">
      <alignment horizontal="center" vertical="center" wrapText="1"/>
    </xf>
    <xf numFmtId="0" fontId="22" fillId="15" borderId="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20" borderId="1" xfId="0" applyFont="1" applyFill="1" applyBorder="1" applyAlignment="1">
      <alignment horizontal="center" vertical="center" wrapText="1"/>
    </xf>
    <xf numFmtId="0" fontId="22" fillId="16" borderId="12" xfId="1" applyFont="1" applyFill="1" applyBorder="1" applyAlignment="1">
      <alignment horizontal="center" vertical="center" wrapText="1"/>
    </xf>
    <xf numFmtId="0" fontId="22" fillId="16" borderId="1" xfId="1" applyFont="1" applyFill="1" applyBorder="1" applyAlignment="1">
      <alignment horizontal="center" vertical="center" wrapText="1"/>
    </xf>
    <xf numFmtId="0" fontId="25" fillId="44" borderId="12" xfId="1" applyFont="1" applyFill="1" applyBorder="1" applyAlignment="1">
      <alignment horizontal="center" vertical="center" wrapText="1"/>
    </xf>
    <xf numFmtId="0" fontId="19" fillId="54" borderId="1" xfId="0" applyFont="1" applyFill="1" applyBorder="1" applyAlignment="1">
      <alignment horizontal="center" vertical="center" wrapText="1"/>
    </xf>
    <xf numFmtId="0" fontId="19" fillId="44" borderId="12" xfId="0" applyFont="1" applyFill="1" applyBorder="1" applyAlignment="1">
      <alignment horizontal="center" vertical="center" wrapText="1"/>
    </xf>
    <xf numFmtId="0" fontId="22" fillId="24" borderId="1" xfId="1" applyFont="1" applyFill="1" applyBorder="1" applyAlignment="1">
      <alignment horizontal="center" vertical="center" wrapText="1"/>
    </xf>
    <xf numFmtId="0" fontId="22" fillId="32" borderId="1" xfId="1" applyFont="1" applyFill="1" applyBorder="1" applyAlignment="1">
      <alignment horizontal="center" vertical="center" wrapText="1"/>
    </xf>
    <xf numFmtId="0" fontId="22" fillId="32" borderId="15" xfId="1" applyFont="1" applyFill="1" applyBorder="1" applyAlignment="1">
      <alignment horizontal="center" vertical="center" wrapText="1"/>
    </xf>
    <xf numFmtId="0" fontId="22" fillId="32" borderId="12" xfId="1" applyFont="1" applyFill="1" applyBorder="1" applyAlignment="1">
      <alignment horizontal="center" vertical="center" wrapText="1"/>
    </xf>
    <xf numFmtId="0" fontId="24" fillId="46" borderId="12" xfId="1" applyFont="1" applyFill="1" applyBorder="1" applyAlignment="1">
      <alignment horizontal="center" vertical="center" wrapText="1"/>
    </xf>
    <xf numFmtId="0" fontId="22" fillId="32" borderId="10" xfId="1" applyFont="1" applyFill="1" applyBorder="1" applyAlignment="1">
      <alignment horizontal="center" vertical="center" wrapText="1"/>
    </xf>
    <xf numFmtId="0" fontId="23" fillId="17" borderId="12" xfId="0" applyFont="1" applyFill="1" applyBorder="1" applyAlignment="1">
      <alignment horizontal="center" vertical="center" wrapText="1"/>
    </xf>
    <xf numFmtId="0" fontId="12" fillId="26" borderId="1" xfId="0" applyFont="1" applyFill="1" applyBorder="1" applyAlignment="1">
      <alignment horizontal="center" vertical="center" wrapText="1"/>
    </xf>
    <xf numFmtId="0" fontId="22" fillId="33" borderId="1" xfId="1" applyFont="1" applyFill="1" applyBorder="1" applyAlignment="1">
      <alignment horizontal="center" vertical="center" wrapText="1"/>
    </xf>
    <xf numFmtId="0" fontId="22" fillId="33" borderId="12" xfId="1" applyFont="1" applyFill="1" applyBorder="1" applyAlignment="1">
      <alignment horizontal="center" vertical="center" wrapText="1"/>
    </xf>
    <xf numFmtId="0" fontId="12" fillId="34" borderId="12" xfId="1" applyFont="1" applyFill="1" applyBorder="1" applyAlignment="1">
      <alignment horizontal="center" vertical="center" wrapText="1"/>
    </xf>
    <xf numFmtId="0" fontId="12" fillId="18" borderId="12" xfId="0" applyFont="1" applyFill="1" applyBorder="1" applyAlignment="1">
      <alignment horizontal="center" vertical="center" wrapText="1"/>
    </xf>
    <xf numFmtId="164" fontId="12" fillId="18" borderId="12" xfId="0" applyNumberFormat="1" applyFont="1" applyFill="1" applyBorder="1" applyAlignment="1">
      <alignment horizontal="center" vertical="center" wrapText="1"/>
    </xf>
    <xf numFmtId="0" fontId="22" fillId="34" borderId="1" xfId="1" applyFont="1" applyFill="1" applyBorder="1" applyAlignment="1">
      <alignment horizontal="center" vertical="center" wrapText="1"/>
    </xf>
    <xf numFmtId="0" fontId="22" fillId="34" borderId="12" xfId="1" applyFont="1" applyFill="1" applyBorder="1" applyAlignment="1">
      <alignment horizontal="center" vertical="center" wrapText="1"/>
    </xf>
    <xf numFmtId="0" fontId="22" fillId="18" borderId="12" xfId="1" applyNumberFormat="1" applyFont="1" applyFill="1" applyBorder="1" applyAlignment="1">
      <alignment horizontal="center" vertical="center" wrapText="1"/>
    </xf>
    <xf numFmtId="0" fontId="24" fillId="47" borderId="12" xfId="1" applyFont="1" applyFill="1" applyBorder="1" applyAlignment="1">
      <alignment horizontal="center" vertical="center" wrapText="1"/>
    </xf>
    <xf numFmtId="0" fontId="22" fillId="18" borderId="1" xfId="1"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9" fillId="55" borderId="1" xfId="0" applyFont="1" applyFill="1" applyBorder="1" applyAlignment="1">
      <alignment horizontal="center" vertical="center" wrapText="1"/>
    </xf>
    <xf numFmtId="0" fontId="19" fillId="55" borderId="1" xfId="1" applyFont="1" applyFill="1" applyBorder="1" applyAlignment="1">
      <alignment horizontal="center" vertical="center" wrapText="1"/>
    </xf>
    <xf numFmtId="0" fontId="19" fillId="55" borderId="12" xfId="0" applyFont="1" applyFill="1" applyBorder="1" applyAlignment="1">
      <alignment horizontal="center" vertical="center" wrapText="1"/>
    </xf>
    <xf numFmtId="0" fontId="22" fillId="35" borderId="1" xfId="1" applyFont="1" applyFill="1" applyBorder="1" applyAlignment="1">
      <alignment horizontal="center" vertical="center" wrapText="1"/>
    </xf>
    <xf numFmtId="0" fontId="22" fillId="35" borderId="12" xfId="1" applyFont="1" applyFill="1" applyBorder="1" applyAlignment="1">
      <alignment horizontal="center" vertical="center" wrapText="1"/>
    </xf>
    <xf numFmtId="0" fontId="12" fillId="35" borderId="1" xfId="0" quotePrefix="1" applyFont="1" applyFill="1" applyBorder="1" applyAlignment="1">
      <alignment horizontal="center" vertical="center" wrapText="1"/>
    </xf>
    <xf numFmtId="0" fontId="12" fillId="35" borderId="10" xfId="0" quotePrefix="1" applyFont="1" applyFill="1" applyBorder="1" applyAlignment="1">
      <alignment horizontal="left" vertical="center" wrapText="1"/>
    </xf>
    <xf numFmtId="0" fontId="22" fillId="29" borderId="1" xfId="1" applyFont="1" applyFill="1" applyBorder="1" applyAlignment="1">
      <alignment horizontal="center" vertical="center" wrapText="1"/>
    </xf>
    <xf numFmtId="0" fontId="22" fillId="36" borderId="1" xfId="1" applyFont="1" applyFill="1" applyBorder="1" applyAlignment="1">
      <alignment horizontal="center" vertical="center" wrapText="1"/>
    </xf>
    <xf numFmtId="0" fontId="22" fillId="29" borderId="12" xfId="1" applyFont="1" applyFill="1" applyBorder="1" applyAlignment="1">
      <alignment horizontal="center" vertical="center" wrapText="1"/>
    </xf>
    <xf numFmtId="0" fontId="22" fillId="36" borderId="12" xfId="1" applyFont="1" applyFill="1" applyBorder="1" applyAlignment="1">
      <alignment horizontal="center" vertical="center" wrapText="1"/>
    </xf>
    <xf numFmtId="0" fontId="22" fillId="21" borderId="1" xfId="0" applyFont="1" applyFill="1" applyBorder="1" applyAlignment="1">
      <alignment horizontal="center" vertical="center" wrapText="1"/>
    </xf>
    <xf numFmtId="0" fontId="22" fillId="21" borderId="12" xfId="0" applyFont="1" applyFill="1" applyBorder="1" applyAlignment="1">
      <alignment horizontal="center" vertical="center" wrapText="1"/>
    </xf>
    <xf numFmtId="0" fontId="22" fillId="32" borderId="12" xfId="0" applyFont="1" applyFill="1" applyBorder="1" applyAlignment="1">
      <alignment horizontal="center" vertical="center" wrapText="1"/>
    </xf>
    <xf numFmtId="0" fontId="22" fillId="20" borderId="12" xfId="0" applyFont="1" applyFill="1" applyBorder="1" applyAlignment="1">
      <alignment horizontal="center" vertical="center" wrapText="1"/>
    </xf>
    <xf numFmtId="0" fontId="22" fillId="32" borderId="1" xfId="0" applyFont="1" applyFill="1" applyBorder="1" applyAlignment="1">
      <alignment horizontal="center" vertical="center" wrapText="1"/>
    </xf>
    <xf numFmtId="0" fontId="22" fillId="30" borderId="1" xfId="1" applyFont="1" applyFill="1" applyBorder="1" applyAlignment="1">
      <alignment horizontal="center" vertical="center" wrapText="1"/>
    </xf>
    <xf numFmtId="0" fontId="22" fillId="30" borderId="12" xfId="1" applyFont="1" applyFill="1" applyBorder="1" applyAlignment="1">
      <alignment horizontal="center" vertical="center" wrapText="1"/>
    </xf>
    <xf numFmtId="0" fontId="22" fillId="22" borderId="1" xfId="0" applyFont="1" applyFill="1" applyBorder="1" applyAlignment="1">
      <alignment horizontal="center" vertical="center" wrapText="1"/>
    </xf>
    <xf numFmtId="164" fontId="12" fillId="16" borderId="12" xfId="0" applyNumberFormat="1" applyFont="1" applyFill="1" applyBorder="1" applyAlignment="1">
      <alignment horizontal="center" vertical="center" wrapText="1"/>
    </xf>
    <xf numFmtId="164" fontId="12" fillId="32" borderId="1" xfId="0" applyNumberFormat="1" applyFont="1" applyFill="1" applyBorder="1" applyAlignment="1">
      <alignment horizontal="center" vertical="center" wrapText="1"/>
    </xf>
    <xf numFmtId="164" fontId="12" fillId="16" borderId="1" xfId="0" applyNumberFormat="1" applyFont="1" applyFill="1" applyBorder="1" applyAlignment="1">
      <alignment horizontal="center" vertical="center" wrapText="1"/>
    </xf>
    <xf numFmtId="164" fontId="12" fillId="33" borderId="1" xfId="0" applyNumberFormat="1" applyFont="1" applyFill="1" applyBorder="1" applyAlignment="1">
      <alignment horizontal="center" vertical="center" wrapText="1"/>
    </xf>
    <xf numFmtId="164" fontId="12" fillId="34" borderId="1" xfId="0" applyNumberFormat="1" applyFont="1" applyFill="1" applyBorder="1" applyAlignment="1">
      <alignment horizontal="center" vertical="center" wrapText="1"/>
    </xf>
    <xf numFmtId="164" fontId="12" fillId="35" borderId="1" xfId="0" applyNumberFormat="1" applyFont="1" applyFill="1" applyBorder="1" applyAlignment="1">
      <alignment horizontal="center" vertical="center" wrapText="1"/>
    </xf>
    <xf numFmtId="164" fontId="12" fillId="22" borderId="1" xfId="0" applyNumberFormat="1" applyFont="1" applyFill="1" applyBorder="1" applyAlignment="1">
      <alignment horizontal="center" vertical="center" wrapText="1"/>
    </xf>
    <xf numFmtId="164" fontId="12" fillId="27" borderId="1" xfId="1" applyNumberFormat="1" applyFont="1" applyFill="1" applyBorder="1" applyAlignment="1">
      <alignment horizontal="center" vertical="center" wrapText="1"/>
    </xf>
    <xf numFmtId="164" fontId="12" fillId="34" borderId="12" xfId="0" applyNumberFormat="1" applyFont="1" applyFill="1" applyBorder="1" applyAlignment="1">
      <alignment horizontal="center" vertical="center" wrapText="1"/>
    </xf>
    <xf numFmtId="0" fontId="22" fillId="35" borderId="10" xfId="1" applyFont="1" applyFill="1" applyBorder="1" applyAlignment="1">
      <alignment horizontal="center" vertical="center" wrapText="1"/>
    </xf>
    <xf numFmtId="0" fontId="22" fillId="30" borderId="1" xfId="0" applyFont="1" applyFill="1" applyBorder="1" applyAlignment="1">
      <alignment horizontal="center" vertical="center" wrapText="1"/>
    </xf>
    <xf numFmtId="0" fontId="12" fillId="39" borderId="1" xfId="0" applyFont="1" applyFill="1" applyBorder="1" applyAlignment="1">
      <alignment horizontal="center" vertical="center" wrapText="1"/>
    </xf>
    <xf numFmtId="0" fontId="12" fillId="20" borderId="1" xfId="0" applyNumberFormat="1" applyFont="1" applyFill="1" applyBorder="1" applyAlignment="1">
      <alignment horizontal="center" vertical="center" wrapText="1"/>
    </xf>
    <xf numFmtId="0" fontId="22" fillId="31" borderId="12" xfId="0" applyFont="1" applyFill="1" applyBorder="1" applyAlignment="1">
      <alignment horizontal="center" vertical="center" wrapText="1"/>
    </xf>
    <xf numFmtId="0" fontId="22" fillId="17" borderId="12" xfId="0" applyFont="1" applyFill="1" applyBorder="1" applyAlignment="1">
      <alignment horizontal="center" vertical="center" wrapText="1"/>
    </xf>
    <xf numFmtId="0" fontId="12" fillId="31" borderId="7" xfId="0" applyFont="1" applyFill="1" applyBorder="1" applyAlignment="1">
      <alignment horizontal="center" vertical="center" wrapText="1"/>
    </xf>
    <xf numFmtId="0" fontId="12" fillId="16" borderId="7" xfId="0" quotePrefix="1" applyFont="1" applyFill="1" applyBorder="1" applyAlignment="1">
      <alignment horizontal="center" vertical="center" wrapText="1"/>
    </xf>
    <xf numFmtId="0" fontId="12" fillId="32" borderId="7" xfId="0" quotePrefix="1" applyFont="1" applyFill="1" applyBorder="1" applyAlignment="1">
      <alignment horizontal="center" vertical="center" wrapText="1"/>
    </xf>
    <xf numFmtId="0" fontId="12" fillId="20" borderId="7" xfId="0" applyFont="1" applyFill="1" applyBorder="1" applyAlignment="1">
      <alignment horizontal="center" vertical="center" wrapText="1"/>
    </xf>
    <xf numFmtId="0" fontId="12" fillId="30" borderId="7" xfId="0" quotePrefix="1" applyFont="1" applyFill="1" applyBorder="1" applyAlignment="1">
      <alignment horizontal="center" vertical="center" wrapText="1"/>
    </xf>
    <xf numFmtId="0" fontId="12" fillId="27" borderId="7" xfId="0" quotePrefix="1" applyFont="1" applyFill="1" applyBorder="1" applyAlignment="1">
      <alignment horizontal="center" vertical="center" wrapText="1"/>
    </xf>
    <xf numFmtId="0" fontId="12" fillId="31" borderId="7" xfId="0" quotePrefix="1" applyFont="1" applyFill="1" applyBorder="1" applyAlignment="1">
      <alignment horizontal="center" vertical="center" wrapText="1"/>
    </xf>
    <xf numFmtId="0" fontId="12" fillId="38" borderId="15" xfId="0" applyFont="1" applyFill="1" applyBorder="1" applyAlignment="1">
      <alignment vertical="center" wrapText="1"/>
    </xf>
    <xf numFmtId="0" fontId="12" fillId="20" borderId="0" xfId="0" applyFont="1" applyFill="1" applyBorder="1" applyAlignment="1">
      <alignment horizontal="center" vertical="center" wrapText="1"/>
    </xf>
    <xf numFmtId="164" fontId="12" fillId="31" borderId="0" xfId="0" applyNumberFormat="1"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2" fillId="32" borderId="5" xfId="0" quotePrefix="1" applyFont="1" applyFill="1" applyBorder="1" applyAlignment="1">
      <alignment horizontal="center" vertical="center" wrapText="1"/>
    </xf>
    <xf numFmtId="0" fontId="12" fillId="16" borderId="7" xfId="0" applyFont="1" applyFill="1" applyBorder="1" applyAlignment="1">
      <alignment horizontal="left" vertical="center" wrapText="1"/>
    </xf>
    <xf numFmtId="0" fontId="12" fillId="33" borderId="1" xfId="0" quotePrefix="1" applyFont="1" applyFill="1" applyBorder="1" applyAlignment="1">
      <alignment horizontal="center" vertical="center" wrapText="1"/>
    </xf>
    <xf numFmtId="0" fontId="12" fillId="21" borderId="1" xfId="0" applyNumberFormat="1" applyFont="1" applyFill="1" applyBorder="1" applyAlignment="1">
      <alignment horizontal="center" vertical="center" wrapText="1"/>
    </xf>
    <xf numFmtId="0" fontId="22" fillId="21" borderId="12" xfId="0" applyNumberFormat="1" applyFont="1" applyFill="1" applyBorder="1" applyAlignment="1">
      <alignment horizontal="center" vertical="center" wrapText="1"/>
    </xf>
    <xf numFmtId="0" fontId="12" fillId="21" borderId="12" xfId="0" applyNumberFormat="1" applyFont="1" applyFill="1" applyBorder="1" applyAlignment="1">
      <alignment horizontal="center" vertical="center" wrapText="1"/>
    </xf>
    <xf numFmtId="0" fontId="12" fillId="21" borderId="11" xfId="0" applyNumberFormat="1" applyFont="1" applyFill="1" applyBorder="1" applyAlignment="1">
      <alignment horizontal="center" vertical="center" wrapText="1"/>
    </xf>
    <xf numFmtId="0" fontId="20" fillId="20" borderId="12" xfId="0" applyFont="1" applyFill="1" applyBorder="1" applyAlignment="1">
      <alignment horizontal="center" vertical="center"/>
    </xf>
    <xf numFmtId="164" fontId="12" fillId="36" borderId="1" xfId="0" applyNumberFormat="1" applyFont="1" applyFill="1" applyBorder="1" applyAlignment="1">
      <alignment horizontal="center" vertical="center" wrapText="1"/>
    </xf>
    <xf numFmtId="164" fontId="12" fillId="32" borderId="12" xfId="0" applyNumberFormat="1" applyFont="1" applyFill="1" applyBorder="1" applyAlignment="1">
      <alignment horizontal="center" vertical="center" wrapText="1"/>
    </xf>
    <xf numFmtId="0" fontId="12" fillId="16" borderId="14" xfId="0" applyFont="1" applyFill="1" applyBorder="1" applyAlignment="1">
      <alignment horizontal="center" vertical="center" wrapText="1"/>
    </xf>
    <xf numFmtId="0" fontId="12" fillId="20" borderId="15" xfId="0" applyFont="1" applyFill="1" applyBorder="1" applyAlignment="1">
      <alignment horizontal="center" vertical="center" wrapText="1"/>
    </xf>
    <xf numFmtId="0" fontId="22" fillId="27" borderId="15" xfId="1" applyFont="1" applyFill="1" applyBorder="1" applyAlignment="1">
      <alignment horizontal="center" vertical="center" wrapText="1"/>
    </xf>
    <xf numFmtId="164" fontId="12" fillId="27" borderId="0" xfId="0" applyNumberFormat="1" applyFont="1" applyFill="1" applyBorder="1" applyAlignment="1">
      <alignment horizontal="center" vertical="center" wrapText="1"/>
    </xf>
    <xf numFmtId="164" fontId="12" fillId="36" borderId="12" xfId="0" applyNumberFormat="1" applyFont="1" applyFill="1" applyBorder="1" applyAlignment="1">
      <alignment horizontal="center" vertical="center" wrapText="1"/>
    </xf>
    <xf numFmtId="0" fontId="12" fillId="16" borderId="11" xfId="0" quotePrefix="1" applyFont="1" applyFill="1" applyBorder="1" applyAlignment="1">
      <alignment horizontal="center" vertical="center" wrapText="1"/>
    </xf>
    <xf numFmtId="0" fontId="12" fillId="32" borderId="15" xfId="0" quotePrefix="1" applyFont="1" applyFill="1" applyBorder="1" applyAlignment="1">
      <alignment horizontal="center" vertical="center" wrapText="1"/>
    </xf>
    <xf numFmtId="0" fontId="22" fillId="21" borderId="1" xfId="1" applyNumberFormat="1" applyFont="1" applyFill="1" applyBorder="1" applyAlignment="1">
      <alignment horizontal="center" vertical="center" wrapText="1"/>
    </xf>
    <xf numFmtId="164" fontId="12" fillId="21" borderId="1" xfId="0" applyNumberFormat="1" applyFont="1" applyFill="1" applyBorder="1" applyAlignment="1">
      <alignment horizontal="center" vertical="center" wrapText="1"/>
    </xf>
    <xf numFmtId="0" fontId="23" fillId="21" borderId="1" xfId="0" applyNumberFormat="1" applyFont="1" applyFill="1" applyBorder="1" applyAlignment="1">
      <alignment horizontal="center" vertical="center" wrapText="1"/>
    </xf>
    <xf numFmtId="0" fontId="12" fillId="23" borderId="1" xfId="0" applyNumberFormat="1" applyFont="1" applyFill="1" applyBorder="1" applyAlignment="1">
      <alignment horizontal="center" vertical="center" wrapText="1"/>
    </xf>
    <xf numFmtId="0" fontId="22" fillId="23" borderId="1" xfId="1" applyNumberFormat="1" applyFont="1" applyFill="1" applyBorder="1" applyAlignment="1">
      <alignment horizontal="center" vertical="center" wrapText="1"/>
    </xf>
    <xf numFmtId="164" fontId="12" fillId="23" borderId="1" xfId="0" applyNumberFormat="1" applyFont="1" applyFill="1" applyBorder="1" applyAlignment="1">
      <alignment horizontal="center" vertical="center" wrapText="1"/>
    </xf>
    <xf numFmtId="0" fontId="0" fillId="23" borderId="1" xfId="0" applyNumberFormat="1" applyFill="1" applyBorder="1" applyAlignment="1">
      <alignment horizontal="center" vertical="center" wrapText="1"/>
    </xf>
    <xf numFmtId="0" fontId="12" fillId="18" borderId="1" xfId="0" applyNumberFormat="1" applyFont="1" applyFill="1" applyBorder="1" applyAlignment="1">
      <alignment horizontal="center" vertical="center" wrapText="1"/>
    </xf>
    <xf numFmtId="0" fontId="22" fillId="18" borderId="1" xfId="1"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12" fillId="31" borderId="11" xfId="0" applyFont="1" applyFill="1" applyBorder="1" applyAlignment="1">
      <alignment horizontal="center" vertical="center" wrapText="1"/>
    </xf>
    <xf numFmtId="0" fontId="12" fillId="29" borderId="11" xfId="0" quotePrefix="1" applyFont="1" applyFill="1" applyBorder="1" applyAlignment="1">
      <alignment horizontal="left" vertical="center" wrapText="1"/>
    </xf>
    <xf numFmtId="0" fontId="12" fillId="15" borderId="11" xfId="0" applyFont="1" applyFill="1" applyBorder="1" applyAlignment="1">
      <alignment horizontal="center" vertical="center" wrapText="1"/>
    </xf>
    <xf numFmtId="164" fontId="12" fillId="21" borderId="12" xfId="0" applyNumberFormat="1"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56" borderId="1" xfId="0" applyFont="1" applyFill="1" applyBorder="1" applyAlignment="1">
      <alignment horizontal="center" vertical="center" wrapText="1"/>
    </xf>
    <xf numFmtId="0" fontId="12" fillId="57" borderId="1" xfId="0" applyFont="1" applyFill="1" applyBorder="1" applyAlignment="1">
      <alignment horizontal="center" vertical="center" wrapText="1"/>
    </xf>
    <xf numFmtId="0" fontId="22" fillId="57" borderId="12" xfId="1" applyFont="1" applyFill="1" applyBorder="1" applyAlignment="1">
      <alignment horizontal="center" vertical="center" wrapText="1"/>
    </xf>
    <xf numFmtId="164" fontId="12" fillId="57" borderId="12" xfId="0" applyNumberFormat="1" applyFont="1" applyFill="1" applyBorder="1" applyAlignment="1">
      <alignment horizontal="center" vertical="center" wrapText="1"/>
    </xf>
    <xf numFmtId="0" fontId="12" fillId="57" borderId="12" xfId="0" applyFont="1" applyFill="1" applyBorder="1" applyAlignment="1">
      <alignment horizontal="center" vertical="center" wrapText="1"/>
    </xf>
    <xf numFmtId="0" fontId="12" fillId="57" borderId="7" xfId="0" quotePrefix="1" applyFont="1" applyFill="1" applyBorder="1" applyAlignment="1">
      <alignment horizontal="center" vertical="center" wrapText="1"/>
    </xf>
    <xf numFmtId="0" fontId="12" fillId="57" borderId="7" xfId="0" applyFont="1" applyFill="1" applyBorder="1" applyAlignment="1">
      <alignment horizontal="center" vertical="center" wrapText="1"/>
    </xf>
    <xf numFmtId="0" fontId="12" fillId="23" borderId="1" xfId="0" applyNumberFormat="1" applyFont="1" applyFill="1" applyBorder="1" applyAlignment="1">
      <alignment vertical="center" wrapText="1"/>
    </xf>
    <xf numFmtId="164" fontId="12" fillId="33" borderId="12" xfId="0" applyNumberFormat="1" applyFont="1" applyFill="1" applyBorder="1" applyAlignment="1">
      <alignment horizontal="center" vertical="center" wrapText="1"/>
    </xf>
    <xf numFmtId="0" fontId="12" fillId="24" borderId="1" xfId="0" applyNumberFormat="1" applyFont="1" applyFill="1" applyBorder="1" applyAlignment="1">
      <alignment horizontal="center" vertical="center" wrapText="1"/>
    </xf>
    <xf numFmtId="0" fontId="23" fillId="23" borderId="12" xfId="0" applyNumberFormat="1" applyFont="1" applyFill="1" applyBorder="1" applyAlignment="1">
      <alignment vertical="center" wrapText="1"/>
    </xf>
    <xf numFmtId="164" fontId="12" fillId="23" borderId="12" xfId="0" applyNumberFormat="1" applyFont="1" applyFill="1" applyBorder="1" applyAlignment="1">
      <alignment vertical="center" wrapText="1"/>
    </xf>
    <xf numFmtId="0" fontId="22" fillId="49" borderId="12" xfId="0" applyNumberFormat="1" applyFont="1" applyFill="1" applyBorder="1" applyAlignment="1">
      <alignment horizontal="center" vertical="center" wrapText="1"/>
    </xf>
    <xf numFmtId="0" fontId="22" fillId="23" borderId="12" xfId="0" applyNumberFormat="1" applyFont="1" applyFill="1" applyBorder="1" applyAlignment="1">
      <alignment horizontal="center" vertical="center" wrapText="1"/>
    </xf>
    <xf numFmtId="0" fontId="12" fillId="49" borderId="12" xfId="0" applyNumberFormat="1" applyFont="1" applyFill="1" applyBorder="1" applyAlignment="1">
      <alignment horizontal="center" vertical="center" wrapText="1"/>
    </xf>
    <xf numFmtId="0" fontId="12" fillId="23" borderId="12" xfId="0" applyNumberFormat="1" applyFont="1" applyFill="1" applyBorder="1" applyAlignment="1">
      <alignment horizontal="center" vertical="center" wrapText="1"/>
    </xf>
    <xf numFmtId="0" fontId="12" fillId="23" borderId="7" xfId="0" applyNumberFormat="1" applyFont="1" applyFill="1" applyBorder="1" applyAlignment="1">
      <alignment vertical="center" wrapText="1"/>
    </xf>
    <xf numFmtId="164" fontId="12" fillId="21" borderId="12" xfId="0" applyNumberFormat="1" applyFont="1" applyFill="1" applyBorder="1" applyAlignment="1">
      <alignment vertical="center" wrapText="1"/>
    </xf>
    <xf numFmtId="0" fontId="12" fillId="21" borderId="7" xfId="0" applyNumberFormat="1" applyFont="1" applyFill="1" applyBorder="1" applyAlignment="1">
      <alignment vertical="center" wrapText="1"/>
    </xf>
    <xf numFmtId="0" fontId="23" fillId="21" borderId="12" xfId="0" applyNumberFormat="1" applyFont="1" applyFill="1" applyBorder="1" applyAlignment="1">
      <alignment horizontal="center" vertical="center" wrapText="1"/>
    </xf>
    <xf numFmtId="0" fontId="12" fillId="21" borderId="7" xfId="0" applyNumberFormat="1" applyFont="1" applyFill="1" applyBorder="1" applyAlignment="1">
      <alignment horizontal="center" vertical="center" wrapText="1"/>
    </xf>
    <xf numFmtId="0" fontId="23" fillId="24" borderId="12" xfId="0" applyNumberFormat="1" applyFont="1" applyFill="1" applyBorder="1" applyAlignment="1">
      <alignment horizontal="center" vertical="center" wrapText="1"/>
    </xf>
    <xf numFmtId="0" fontId="12" fillId="24" borderId="7" xfId="0" applyNumberFormat="1" applyFont="1" applyFill="1" applyBorder="1" applyAlignment="1">
      <alignment horizontal="center" vertical="center" wrapText="1"/>
    </xf>
    <xf numFmtId="0" fontId="23" fillId="18" borderId="1" xfId="0" applyNumberFormat="1" applyFont="1" applyFill="1" applyBorder="1" applyAlignment="1">
      <alignment horizontal="center" vertical="center" wrapText="1"/>
    </xf>
    <xf numFmtId="0" fontId="12" fillId="27" borderId="7" xfId="0" quotePrefix="1" applyFont="1" applyFill="1" applyBorder="1" applyAlignment="1">
      <alignment horizontal="left" vertical="center" wrapText="1"/>
    </xf>
    <xf numFmtId="0" fontId="12" fillId="20" borderId="11" xfId="0" applyFont="1" applyFill="1" applyBorder="1" applyAlignment="1">
      <alignment horizontal="center" vertical="center" wrapText="1"/>
    </xf>
    <xf numFmtId="0" fontId="22" fillId="21" borderId="12" xfId="0" applyNumberFormat="1" applyFont="1" applyFill="1" applyBorder="1" applyAlignment="1">
      <alignment vertical="center" wrapText="1"/>
    </xf>
    <xf numFmtId="0" fontId="22" fillId="29" borderId="12" xfId="1" applyNumberFormat="1" applyFont="1" applyFill="1" applyBorder="1" applyAlignment="1">
      <alignment horizontal="center" vertical="center" wrapText="1"/>
    </xf>
    <xf numFmtId="0" fontId="12" fillId="21" borderId="12" xfId="0" applyNumberFormat="1" applyFont="1" applyFill="1" applyBorder="1" applyAlignment="1">
      <alignment vertical="center" wrapText="1"/>
    </xf>
    <xf numFmtId="0" fontId="22" fillId="31" borderId="12" xfId="1" applyNumberFormat="1" applyFont="1" applyFill="1" applyBorder="1" applyAlignment="1">
      <alignment horizontal="center" vertical="center" wrapText="1"/>
    </xf>
    <xf numFmtId="0" fontId="12" fillId="17" borderId="12" xfId="0" applyNumberFormat="1" applyFont="1" applyFill="1" applyBorder="1" applyAlignment="1">
      <alignment horizontal="center" vertical="center" wrapText="1"/>
    </xf>
    <xf numFmtId="0" fontId="22" fillId="32" borderId="12" xfId="1"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21" borderId="10" xfId="0" applyNumberFormat="1" applyFont="1" applyFill="1" applyBorder="1" applyAlignment="1">
      <alignment horizontal="center" vertical="center" wrapText="1"/>
    </xf>
    <xf numFmtId="0" fontId="12" fillId="27" borderId="1" xfId="0" applyNumberFormat="1" applyFont="1" applyFill="1" applyBorder="1" applyAlignment="1">
      <alignment horizontal="center" vertical="center" wrapText="1"/>
    </xf>
    <xf numFmtId="0" fontId="12" fillId="29" borderId="12" xfId="0" applyNumberFormat="1" applyFont="1" applyFill="1" applyBorder="1" applyAlignment="1">
      <alignment horizontal="center" vertical="center" wrapText="1"/>
    </xf>
    <xf numFmtId="0" fontId="22" fillId="27" borderId="1" xfId="1" applyNumberFormat="1" applyFont="1" applyFill="1" applyBorder="1" applyAlignment="1">
      <alignment horizontal="center" vertical="center" wrapText="1"/>
    </xf>
    <xf numFmtId="0" fontId="22" fillId="31" borderId="1" xfId="1" applyNumberFormat="1" applyFont="1" applyFill="1" applyBorder="1" applyAlignment="1">
      <alignment horizontal="center" vertical="center" wrapText="1"/>
    </xf>
    <xf numFmtId="0" fontId="22" fillId="29" borderId="1" xfId="1" applyNumberFormat="1" applyFont="1" applyFill="1" applyBorder="1" applyAlignment="1">
      <alignment horizontal="center" vertical="center" wrapText="1"/>
    </xf>
    <xf numFmtId="0" fontId="12" fillId="29" borderId="1" xfId="0" applyNumberFormat="1" applyFont="1" applyFill="1" applyBorder="1" applyAlignment="1">
      <alignment horizontal="center" vertical="center" wrapText="1"/>
    </xf>
    <xf numFmtId="0" fontId="12" fillId="31" borderId="12" xfId="0" applyNumberFormat="1" applyFont="1" applyFill="1" applyBorder="1" applyAlignment="1">
      <alignment horizontal="center" vertical="center" wrapText="1"/>
    </xf>
    <xf numFmtId="0" fontId="12" fillId="36" borderId="12" xfId="0" quotePrefix="1" applyFont="1" applyFill="1" applyBorder="1" applyAlignment="1">
      <alignment horizontal="center" vertical="center" wrapText="1"/>
    </xf>
    <xf numFmtId="0" fontId="12" fillId="29" borderId="10" xfId="0" applyNumberFormat="1" applyFont="1" applyFill="1" applyBorder="1" applyAlignment="1">
      <alignment horizontal="center" vertical="center" wrapText="1"/>
    </xf>
    <xf numFmtId="0" fontId="22" fillId="58" borderId="1" xfId="1" applyNumberFormat="1" applyFont="1" applyFill="1" applyBorder="1" applyAlignment="1">
      <alignment horizontal="center" vertical="center" wrapText="1"/>
    </xf>
    <xf numFmtId="0" fontId="22" fillId="56" borderId="12" xfId="0" applyFont="1" applyFill="1" applyBorder="1" applyAlignment="1">
      <alignment horizontal="center" vertical="center" wrapText="1"/>
    </xf>
    <xf numFmtId="0" fontId="12" fillId="56" borderId="12" xfId="0" applyFont="1" applyFill="1" applyBorder="1" applyAlignment="1">
      <alignment horizontal="center" vertical="center" wrapText="1"/>
    </xf>
    <xf numFmtId="0" fontId="12" fillId="56" borderId="7" xfId="0" quotePrefix="1" applyFont="1" applyFill="1" applyBorder="1" applyAlignment="1">
      <alignment horizontal="center" vertical="center" wrapText="1"/>
    </xf>
    <xf numFmtId="0" fontId="22" fillId="31" borderId="10" xfId="1" applyFont="1" applyFill="1" applyBorder="1" applyAlignment="1">
      <alignment horizontal="center" vertical="center" wrapText="1"/>
    </xf>
    <xf numFmtId="164" fontId="12" fillId="31" borderId="10" xfId="0" applyNumberFormat="1" applyFont="1" applyFill="1" applyBorder="1" applyAlignment="1">
      <alignment horizontal="center" vertical="center" wrapText="1"/>
    </xf>
    <xf numFmtId="0" fontId="12" fillId="23" borderId="17" xfId="0"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12" fillId="20" borderId="18" xfId="0" applyFont="1" applyFill="1" applyBorder="1" applyAlignment="1">
      <alignment horizontal="center" vertical="center" wrapText="1"/>
    </xf>
    <xf numFmtId="164" fontId="12" fillId="31" borderId="17" xfId="0" applyNumberFormat="1" applyFont="1" applyFill="1" applyBorder="1" applyAlignment="1">
      <alignment horizontal="center" vertical="center" wrapText="1"/>
    </xf>
    <xf numFmtId="164" fontId="12" fillId="27" borderId="17" xfId="0" applyNumberFormat="1" applyFont="1" applyFill="1" applyBorder="1" applyAlignment="1">
      <alignment horizontal="center" vertical="center" wrapText="1"/>
    </xf>
    <xf numFmtId="164" fontId="12" fillId="29" borderId="17" xfId="0" applyNumberFormat="1" applyFont="1" applyFill="1" applyBorder="1" applyAlignment="1">
      <alignment horizontal="center" vertical="center" wrapText="1"/>
    </xf>
    <xf numFmtId="164" fontId="12" fillId="20" borderId="17" xfId="0" applyNumberFormat="1" applyFont="1" applyFill="1" applyBorder="1" applyAlignment="1">
      <alignment horizontal="center" vertical="center" wrapText="1"/>
    </xf>
    <xf numFmtId="164" fontId="12" fillId="37" borderId="17" xfId="0" applyNumberFormat="1" applyFont="1" applyFill="1" applyBorder="1" applyAlignment="1">
      <alignment horizontal="center" vertical="center" wrapText="1"/>
    </xf>
    <xf numFmtId="0" fontId="12" fillId="31" borderId="18" xfId="0" applyFont="1" applyFill="1" applyBorder="1" applyAlignment="1">
      <alignment horizontal="center" vertical="center" wrapText="1"/>
    </xf>
    <xf numFmtId="0" fontId="12" fillId="27" borderId="18" xfId="0" applyFont="1" applyFill="1" applyBorder="1" applyAlignment="1">
      <alignment horizontal="center" vertical="center" wrapText="1"/>
    </xf>
    <xf numFmtId="0" fontId="12" fillId="29" borderId="18" xfId="0" quotePrefix="1" applyFont="1" applyFill="1" applyBorder="1" applyAlignment="1">
      <alignment horizontal="center" vertical="center" wrapText="1"/>
    </xf>
    <xf numFmtId="0" fontId="12" fillId="20" borderId="18" xfId="0" quotePrefix="1" applyFont="1" applyFill="1" applyBorder="1" applyAlignment="1">
      <alignment horizontal="center" vertical="center" wrapText="1"/>
    </xf>
    <xf numFmtId="0" fontId="12" fillId="37" borderId="17" xfId="0" applyFont="1" applyFill="1" applyBorder="1" applyAlignment="1">
      <alignment horizontal="center" vertical="center" wrapText="1"/>
    </xf>
    <xf numFmtId="0" fontId="12" fillId="37" borderId="18" xfId="0" quotePrefix="1" applyFont="1" applyFill="1" applyBorder="1" applyAlignment="1">
      <alignment horizontal="center" vertical="center" wrapText="1"/>
    </xf>
    <xf numFmtId="0" fontId="12" fillId="27" borderId="18" xfId="0" quotePrefix="1" applyFont="1" applyFill="1" applyBorder="1" applyAlignment="1">
      <alignment horizontal="center" vertical="center" wrapText="1"/>
    </xf>
    <xf numFmtId="0" fontId="12" fillId="31" borderId="17" xfId="0" applyFont="1" applyFill="1" applyBorder="1" applyAlignment="1">
      <alignment horizontal="center" vertical="center" wrapText="1"/>
    </xf>
    <xf numFmtId="0" fontId="12" fillId="29" borderId="17" xfId="0" applyFont="1" applyFill="1" applyBorder="1" applyAlignment="1">
      <alignment horizontal="center" vertical="center" wrapText="1"/>
    </xf>
    <xf numFmtId="0" fontId="22" fillId="31" borderId="17" xfId="1" applyFont="1" applyFill="1" applyBorder="1" applyAlignment="1">
      <alignment horizontal="center" vertical="center" wrapText="1"/>
    </xf>
    <xf numFmtId="0" fontId="22" fillId="27" borderId="17" xfId="1" applyFont="1" applyFill="1" applyBorder="1" applyAlignment="1">
      <alignment horizontal="center" vertical="center" wrapText="1"/>
    </xf>
    <xf numFmtId="0" fontId="22" fillId="29" borderId="17" xfId="1" applyFont="1" applyFill="1" applyBorder="1" applyAlignment="1">
      <alignment horizontal="center" vertical="center" wrapText="1"/>
    </xf>
    <xf numFmtId="0" fontId="22" fillId="20" borderId="17" xfId="1" applyFont="1" applyFill="1" applyBorder="1" applyAlignment="1">
      <alignment horizontal="center" vertical="center" wrapText="1"/>
    </xf>
    <xf numFmtId="0" fontId="26" fillId="27" borderId="1" xfId="1" applyFont="1" applyFill="1" applyBorder="1" applyAlignment="1">
      <alignment horizontal="center" vertical="center" wrapText="1"/>
    </xf>
    <xf numFmtId="0" fontId="26" fillId="27" borderId="17" xfId="1" applyFont="1" applyFill="1" applyBorder="1" applyAlignment="1">
      <alignment horizontal="center" vertical="center" wrapText="1"/>
    </xf>
    <xf numFmtId="0" fontId="26" fillId="31" borderId="1" xfId="1" applyFont="1" applyFill="1" applyBorder="1" applyAlignment="1">
      <alignment horizontal="center" vertical="center" wrapText="1"/>
    </xf>
    <xf numFmtId="0" fontId="22" fillId="15" borderId="17" xfId="0" applyFont="1" applyFill="1" applyBorder="1" applyAlignment="1">
      <alignment horizontal="center" vertical="center" wrapText="1"/>
    </xf>
    <xf numFmtId="0" fontId="22" fillId="20" borderId="17" xfId="0" applyFont="1" applyFill="1" applyBorder="1" applyAlignment="1">
      <alignment horizontal="center" vertical="center" wrapText="1"/>
    </xf>
    <xf numFmtId="0" fontId="12" fillId="23" borderId="14" xfId="0" applyFont="1" applyFill="1" applyBorder="1" applyAlignment="1">
      <alignment horizontal="center" vertical="center" wrapText="1"/>
    </xf>
    <xf numFmtId="0" fontId="12" fillId="21" borderId="17" xfId="0" applyFont="1" applyFill="1" applyBorder="1" applyAlignment="1">
      <alignment horizontal="center" vertical="center" wrapText="1"/>
    </xf>
    <xf numFmtId="0" fontId="26" fillId="20" borderId="17" xfId="0" applyFont="1" applyFill="1" applyBorder="1" applyAlignment="1">
      <alignment horizontal="center" vertical="center" wrapText="1"/>
    </xf>
    <xf numFmtId="0" fontId="12" fillId="60" borderId="17" xfId="0" applyFont="1" applyFill="1" applyBorder="1" applyAlignment="1">
      <alignment horizontal="center" vertical="center" wrapText="1"/>
    </xf>
    <xf numFmtId="0" fontId="12" fillId="60" borderId="1" xfId="0" applyFont="1" applyFill="1" applyBorder="1" applyAlignment="1">
      <alignment horizontal="center" vertical="center" wrapText="1"/>
    </xf>
    <xf numFmtId="164" fontId="12" fillId="61" borderId="17" xfId="0" applyNumberFormat="1" applyFont="1" applyFill="1" applyBorder="1" applyAlignment="1">
      <alignment horizontal="center" vertical="center" wrapText="1"/>
    </xf>
    <xf numFmtId="0" fontId="22" fillId="61" borderId="1" xfId="0" applyFont="1" applyFill="1" applyBorder="1" applyAlignment="1">
      <alignment horizontal="center" vertical="center" wrapText="1"/>
    </xf>
    <xf numFmtId="0" fontId="12" fillId="61" borderId="1" xfId="0" applyFont="1" applyFill="1" applyBorder="1" applyAlignment="1">
      <alignment horizontal="center" wrapText="1"/>
    </xf>
    <xf numFmtId="0" fontId="12" fillId="50" borderId="18" xfId="0" applyFont="1" applyFill="1" applyBorder="1" applyAlignment="1">
      <alignment horizontal="center" vertical="center" wrapText="1"/>
    </xf>
    <xf numFmtId="0" fontId="26" fillId="60" borderId="1" xfId="0" applyFont="1" applyFill="1" applyBorder="1" applyAlignment="1">
      <alignment horizontal="center" vertical="center" wrapText="1"/>
    </xf>
    <xf numFmtId="164" fontId="12" fillId="60" borderId="1" xfId="0" applyNumberFormat="1" applyFont="1" applyFill="1" applyBorder="1" applyAlignment="1">
      <alignment horizontal="center" vertical="center" wrapText="1"/>
    </xf>
    <xf numFmtId="0" fontId="22" fillId="60" borderId="1" xfId="0" applyFont="1" applyFill="1" applyBorder="1" applyAlignment="1">
      <alignment horizontal="center" vertical="center" wrapText="1"/>
    </xf>
    <xf numFmtId="0" fontId="12" fillId="61" borderId="1" xfId="0" quotePrefix="1" applyFont="1" applyFill="1" applyBorder="1" applyAlignment="1">
      <alignment horizontal="center" vertical="center" wrapText="1"/>
    </xf>
    <xf numFmtId="0" fontId="22" fillId="61" borderId="1" xfId="1" applyFont="1" applyFill="1" applyBorder="1" applyAlignment="1">
      <alignment horizontal="center" vertical="center" wrapText="1"/>
    </xf>
    <xf numFmtId="164" fontId="12" fillId="61" borderId="1" xfId="0" applyNumberFormat="1" applyFont="1" applyFill="1" applyBorder="1" applyAlignment="1">
      <alignment horizontal="center" vertical="center" wrapText="1"/>
    </xf>
    <xf numFmtId="0" fontId="12" fillId="61" borderId="1" xfId="0" applyFont="1" applyFill="1" applyBorder="1" applyAlignment="1">
      <alignment horizontal="center" vertical="center" wrapText="1"/>
    </xf>
    <xf numFmtId="0" fontId="22" fillId="50" borderId="1" xfId="0" applyFont="1" applyFill="1" applyBorder="1" applyAlignment="1">
      <alignment horizontal="center" vertical="center" wrapText="1"/>
    </xf>
    <xf numFmtId="0" fontId="26" fillId="61" borderId="1" xfId="1" applyFont="1" applyFill="1" applyBorder="1" applyAlignment="1">
      <alignment horizontal="center" vertical="center" wrapText="1"/>
    </xf>
    <xf numFmtId="0" fontId="22" fillId="61" borderId="17" xfId="1" applyFont="1" applyFill="1" applyBorder="1" applyAlignment="1">
      <alignment horizontal="center" vertical="center" wrapText="1"/>
    </xf>
    <xf numFmtId="0" fontId="12" fillId="61" borderId="17" xfId="0" applyFont="1" applyFill="1" applyBorder="1" applyAlignment="1">
      <alignment horizontal="center" vertical="center" wrapText="1"/>
    </xf>
    <xf numFmtId="0" fontId="12" fillId="61" borderId="18" xfId="0" quotePrefix="1" applyFont="1" applyFill="1" applyBorder="1" applyAlignment="1">
      <alignment horizontal="center" vertical="center" wrapText="1"/>
    </xf>
    <xf numFmtId="0" fontId="12" fillId="20" borderId="10" xfId="0" applyNumberFormat="1" applyFont="1" applyFill="1" applyBorder="1" applyAlignment="1">
      <alignment horizontal="center" vertical="center" wrapText="1"/>
    </xf>
    <xf numFmtId="0" fontId="22" fillId="20" borderId="10" xfId="1" applyNumberFormat="1" applyFont="1" applyFill="1" applyBorder="1" applyAlignment="1">
      <alignment horizontal="center" vertical="center" wrapText="1"/>
    </xf>
    <xf numFmtId="164" fontId="12" fillId="20" borderId="10" xfId="0" applyNumberFormat="1" applyFont="1" applyFill="1" applyBorder="1" applyAlignment="1">
      <alignment horizontal="center" vertical="center" wrapText="1"/>
    </xf>
    <xf numFmtId="0" fontId="21" fillId="7" borderId="0" xfId="0" applyFont="1" applyFill="1" applyAlignment="1">
      <alignment horizontal="center" vertical="center" wrapText="1"/>
    </xf>
    <xf numFmtId="0" fontId="22" fillId="33" borderId="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0" fillId="34" borderId="1" xfId="0" applyFill="1" applyBorder="1" applyAlignment="1">
      <alignment horizontal="center" vertical="center" wrapText="1"/>
    </xf>
    <xf numFmtId="164" fontId="12" fillId="20" borderId="1" xfId="0" applyNumberFormat="1" applyFont="1" applyFill="1" applyBorder="1" applyAlignment="1">
      <alignment horizontal="center" vertical="center"/>
    </xf>
    <xf numFmtId="0" fontId="22" fillId="52" borderId="1" xfId="0" applyFont="1" applyFill="1" applyBorder="1" applyAlignment="1">
      <alignment horizontal="center" vertical="center" wrapText="1"/>
    </xf>
    <xf numFmtId="0" fontId="22" fillId="53" borderId="10" xfId="0" applyFont="1" applyFill="1" applyBorder="1" applyAlignment="1">
      <alignment horizontal="center" vertical="center" wrapText="1"/>
    </xf>
    <xf numFmtId="0" fontId="12" fillId="31" borderId="1" xfId="1" applyFont="1" applyFill="1" applyBorder="1" applyAlignment="1">
      <alignment horizontal="center" vertical="center" wrapText="1"/>
    </xf>
    <xf numFmtId="0" fontId="0" fillId="0" borderId="15" xfId="0" applyFill="1" applyBorder="1" applyAlignment="1">
      <alignment horizontal="center" vertical="center" wrapText="1"/>
    </xf>
    <xf numFmtId="0" fontId="0" fillId="38" borderId="1" xfId="0" applyFill="1" applyBorder="1" applyAlignment="1">
      <alignment horizontal="center" vertical="center" wrapText="1"/>
    </xf>
    <xf numFmtId="0" fontId="19" fillId="42" borderId="12" xfId="0" applyFont="1" applyFill="1" applyBorder="1" applyAlignment="1">
      <alignment horizontal="center" vertical="center" wrapText="1"/>
    </xf>
    <xf numFmtId="0" fontId="19" fillId="20" borderId="12" xfId="0" applyFont="1" applyFill="1" applyBorder="1" applyAlignment="1">
      <alignment horizontal="center" vertical="center" wrapText="1"/>
    </xf>
    <xf numFmtId="0" fontId="12" fillId="20" borderId="1" xfId="0" applyFont="1" applyFill="1" applyBorder="1" applyAlignment="1">
      <alignment vertical="center" wrapText="1"/>
    </xf>
    <xf numFmtId="0" fontId="12" fillId="27" borderId="10" xfId="0" applyFont="1" applyFill="1" applyBorder="1" applyAlignment="1">
      <alignment horizontal="left" vertical="center" wrapText="1"/>
    </xf>
    <xf numFmtId="0" fontId="12" fillId="27" borderId="15" xfId="0" applyFont="1" applyFill="1" applyBorder="1" applyAlignment="1">
      <alignment horizontal="center" vertical="center" wrapText="1"/>
    </xf>
    <xf numFmtId="0" fontId="19" fillId="47" borderId="1" xfId="0" applyFont="1" applyFill="1" applyBorder="1" applyAlignment="1">
      <alignment horizontal="center" vertical="center" wrapText="1"/>
    </xf>
    <xf numFmtId="0" fontId="19" fillId="47" borderId="1" xfId="1" applyFont="1" applyFill="1" applyBorder="1" applyAlignment="1">
      <alignment horizontal="center" vertical="center" wrapText="1"/>
    </xf>
    <xf numFmtId="0" fontId="9" fillId="52" borderId="1" xfId="1" applyFill="1" applyBorder="1" applyAlignment="1">
      <alignment horizontal="center" vertical="center" wrapText="1"/>
    </xf>
    <xf numFmtId="0" fontId="24" fillId="55" borderId="12" xfId="1" applyFont="1" applyFill="1" applyBorder="1" applyAlignment="1">
      <alignment horizontal="center" vertical="center" wrapText="1"/>
    </xf>
    <xf numFmtId="164" fontId="19" fillId="55" borderId="12" xfId="0" applyNumberFormat="1" applyFont="1" applyFill="1" applyBorder="1" applyAlignment="1">
      <alignment horizontal="center" vertical="center" wrapText="1"/>
    </xf>
    <xf numFmtId="0" fontId="19" fillId="47" borderId="10" xfId="0" quotePrefix="1" applyFont="1" applyFill="1" applyBorder="1" applyAlignment="1">
      <alignment horizontal="center" vertical="center" wrapText="1"/>
    </xf>
    <xf numFmtId="0" fontId="12" fillId="33" borderId="7" xfId="0" quotePrefix="1" applyFont="1" applyFill="1" applyBorder="1" applyAlignment="1">
      <alignment horizontal="center" vertical="center" wrapText="1"/>
    </xf>
    <xf numFmtId="0" fontId="19" fillId="48" borderId="10" xfId="0" quotePrefix="1" applyFont="1" applyFill="1" applyBorder="1" applyAlignment="1">
      <alignment horizontal="center" vertical="center" wrapText="1"/>
    </xf>
    <xf numFmtId="0" fontId="23" fillId="20" borderId="1" xfId="0" applyFont="1" applyFill="1" applyBorder="1" applyAlignment="1">
      <alignment horizontal="center" vertical="center" wrapText="1"/>
    </xf>
    <xf numFmtId="0" fontId="19" fillId="43" borderId="1" xfId="0" applyFont="1" applyFill="1" applyBorder="1" applyAlignment="1">
      <alignment horizontal="center" vertical="center" wrapText="1"/>
    </xf>
    <xf numFmtId="0" fontId="12" fillId="28" borderId="10" xfId="0" applyFont="1" applyFill="1" applyBorder="1" applyAlignment="1">
      <alignment horizontal="center" vertical="center" wrapText="1"/>
    </xf>
    <xf numFmtId="0" fontId="12" fillId="27" borderId="10" xfId="0" quotePrefix="1" applyFont="1" applyFill="1" applyBorder="1" applyAlignment="1">
      <alignment horizontal="left" vertical="center" wrapText="1"/>
    </xf>
    <xf numFmtId="0" fontId="12" fillId="31" borderId="1" xfId="0" quotePrefix="1" applyFont="1" applyFill="1" applyBorder="1" applyAlignment="1">
      <alignment horizontal="center" vertical="center" wrapText="1"/>
    </xf>
    <xf numFmtId="0" fontId="12" fillId="52" borderId="7" xfId="0" quotePrefix="1" applyFont="1" applyFill="1" applyBorder="1" applyAlignment="1">
      <alignment horizontal="center" vertical="center" wrapText="1"/>
    </xf>
    <xf numFmtId="0" fontId="12" fillId="21" borderId="12" xfId="0" applyFont="1" applyFill="1" applyBorder="1" applyAlignment="1">
      <alignment horizontal="center" vertical="center" wrapText="1"/>
    </xf>
    <xf numFmtId="0" fontId="12" fillId="23" borderId="15" xfId="0" applyFont="1" applyFill="1" applyBorder="1" applyAlignment="1">
      <alignment horizontal="center" vertical="center" wrapText="1"/>
    </xf>
    <xf numFmtId="0" fontId="12" fillId="23" borderId="0" xfId="0" applyFont="1" applyFill="1" applyBorder="1" applyAlignment="1">
      <alignment horizontal="center" vertical="center" wrapText="1"/>
    </xf>
    <xf numFmtId="0" fontId="9" fillId="33" borderId="12" xfId="1" applyFill="1" applyBorder="1" applyAlignment="1">
      <alignment horizontal="center" vertical="center" wrapText="1"/>
    </xf>
    <xf numFmtId="0" fontId="0" fillId="20" borderId="12" xfId="0" applyFont="1" applyFill="1" applyBorder="1" applyAlignment="1">
      <alignment horizontal="center" vertical="center" wrapText="1"/>
    </xf>
    <xf numFmtId="0" fontId="23" fillId="15" borderId="10"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12" fillId="16" borderId="10" xfId="0" applyFont="1" applyFill="1" applyBorder="1" applyAlignment="1">
      <alignment horizontal="left" vertical="center" wrapText="1"/>
    </xf>
    <xf numFmtId="0" fontId="12" fillId="29" borderId="10" xfId="0" quotePrefix="1" applyFont="1" applyFill="1" applyBorder="1" applyAlignment="1">
      <alignment horizontal="left" vertical="center" wrapText="1"/>
    </xf>
    <xf numFmtId="0" fontId="12" fillId="29" borderId="7" xfId="0" quotePrefix="1" applyFont="1" applyFill="1" applyBorder="1" applyAlignment="1">
      <alignment horizontal="center" vertical="center" wrapText="1"/>
    </xf>
    <xf numFmtId="0" fontId="12" fillId="18" borderId="1" xfId="0" quotePrefix="1" applyFont="1" applyFill="1" applyBorder="1" applyAlignment="1">
      <alignment horizontal="center" vertical="center" wrapText="1"/>
    </xf>
    <xf numFmtId="0" fontId="12" fillId="24" borderId="1" xfId="0" quotePrefix="1" applyFont="1" applyFill="1" applyBorder="1" applyAlignment="1">
      <alignment horizontal="center" vertical="center" wrapText="1"/>
    </xf>
    <xf numFmtId="0" fontId="9" fillId="20" borderId="1" xfId="1" applyFill="1" applyBorder="1" applyAlignment="1">
      <alignment horizontal="center" vertical="center" wrapText="1"/>
    </xf>
    <xf numFmtId="0" fontId="12" fillId="36" borderId="14"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8" borderId="14" xfId="0" applyFont="1" applyFill="1" applyBorder="1" applyAlignment="1">
      <alignment horizontal="center" vertical="center" wrapText="1"/>
    </xf>
    <xf numFmtId="0" fontId="12" fillId="51" borderId="14" xfId="0" applyFont="1" applyFill="1" applyBorder="1" applyAlignment="1">
      <alignment horizontal="center" vertical="center" wrapText="1"/>
    </xf>
    <xf numFmtId="0" fontId="12" fillId="18" borderId="0" xfId="0" applyFont="1" applyFill="1" applyBorder="1" applyAlignment="1">
      <alignment horizontal="center" vertical="center" wrapText="1"/>
    </xf>
    <xf numFmtId="0" fontId="22" fillId="20" borderId="0" xfId="0" applyFont="1" applyFill="1" applyBorder="1" applyAlignment="1">
      <alignment horizontal="center" vertical="center" wrapText="1"/>
    </xf>
    <xf numFmtId="0" fontId="9" fillId="32" borderId="1" xfId="1" applyFill="1" applyBorder="1" applyAlignment="1">
      <alignment horizontal="center" vertical="center" wrapText="1"/>
    </xf>
    <xf numFmtId="164" fontId="12" fillId="27" borderId="15" xfId="0" applyNumberFormat="1" applyFont="1" applyFill="1" applyBorder="1" applyAlignment="1">
      <alignment horizontal="center" vertical="center" wrapText="1"/>
    </xf>
    <xf numFmtId="0" fontId="22" fillId="15" borderId="15" xfId="0" applyFont="1" applyFill="1" applyBorder="1" applyAlignment="1">
      <alignment horizontal="center" vertical="center" wrapText="1"/>
    </xf>
    <xf numFmtId="0" fontId="12" fillId="20" borderId="15" xfId="0" quotePrefix="1" applyFont="1" applyFill="1" applyBorder="1" applyAlignment="1">
      <alignment horizontal="center" vertical="center" wrapText="1"/>
    </xf>
    <xf numFmtId="0" fontId="12" fillId="18" borderId="10" xfId="0" applyFont="1" applyFill="1" applyBorder="1" applyAlignment="1">
      <alignment horizontal="center" vertical="center" wrapText="1"/>
    </xf>
    <xf numFmtId="0" fontId="12" fillId="27" borderId="12" xfId="0" quotePrefix="1" applyFont="1" applyFill="1" applyBorder="1" applyAlignment="1">
      <alignment horizontal="center" vertical="center" wrapText="1"/>
    </xf>
    <xf numFmtId="0" fontId="12" fillId="36" borderId="11" xfId="0" quotePrefix="1" applyFont="1" applyFill="1" applyBorder="1" applyAlignment="1">
      <alignment horizontal="center" vertical="center" wrapText="1"/>
    </xf>
    <xf numFmtId="0" fontId="12" fillId="33" borderId="12" xfId="0" quotePrefix="1" applyFont="1" applyFill="1" applyBorder="1" applyAlignment="1">
      <alignment horizontal="center" vertical="center" wrapText="1"/>
    </xf>
    <xf numFmtId="0" fontId="12" fillId="52" borderId="15" xfId="0" applyFont="1" applyFill="1" applyBorder="1" applyAlignment="1">
      <alignment horizontal="center" vertical="center" wrapText="1"/>
    </xf>
    <xf numFmtId="0" fontId="12" fillId="33" borderId="1" xfId="0" applyFont="1" applyFill="1" applyBorder="1" applyAlignment="1">
      <alignment horizontal="left" vertical="center" wrapText="1"/>
    </xf>
    <xf numFmtId="0" fontId="10" fillId="38" borderId="12" xfId="0" applyFont="1" applyFill="1" applyBorder="1" applyAlignment="1">
      <alignment horizontal="center" vertical="center" wrapText="1"/>
    </xf>
    <xf numFmtId="0" fontId="0" fillId="62" borderId="0" xfId="0" applyFill="1"/>
    <xf numFmtId="0" fontId="22" fillId="35" borderId="0" xfId="1" applyFont="1" applyFill="1" applyBorder="1" applyAlignment="1">
      <alignment horizontal="center" vertical="center" wrapText="1"/>
    </xf>
    <xf numFmtId="0" fontId="22" fillId="22" borderId="12" xfId="0" applyFont="1" applyFill="1" applyBorder="1" applyAlignment="1">
      <alignment horizontal="center" vertical="center" wrapText="1"/>
    </xf>
    <xf numFmtId="164" fontId="12" fillId="32" borderId="15" xfId="0" applyNumberFormat="1" applyFont="1" applyFill="1" applyBorder="1" applyAlignment="1">
      <alignment horizontal="center" vertical="center" wrapText="1"/>
    </xf>
    <xf numFmtId="164" fontId="12" fillId="22" borderId="12" xfId="0" applyNumberFormat="1" applyFont="1" applyFill="1" applyBorder="1" applyAlignment="1">
      <alignment horizontal="center" vertical="center" wrapText="1"/>
    </xf>
    <xf numFmtId="0" fontId="9" fillId="27" borderId="1" xfId="1" applyNumberFormat="1" applyFill="1" applyBorder="1" applyAlignment="1">
      <alignment horizontal="center" vertical="center" wrapText="1"/>
    </xf>
    <xf numFmtId="164" fontId="0" fillId="33" borderId="12" xfId="0" applyNumberFormat="1" applyFill="1" applyBorder="1" applyAlignment="1">
      <alignment horizontal="center" vertical="center" wrapText="1"/>
    </xf>
    <xf numFmtId="164" fontId="0" fillId="27" borderId="1" xfId="0" applyNumberFormat="1" applyFill="1" applyBorder="1" applyAlignment="1">
      <alignment horizontal="center" vertical="center" wrapText="1"/>
    </xf>
    <xf numFmtId="164" fontId="0" fillId="34" borderId="12" xfId="0" applyNumberFormat="1" applyFill="1" applyBorder="1" applyAlignment="1">
      <alignment horizontal="center" vertical="center" wrapText="1"/>
    </xf>
    <xf numFmtId="164" fontId="0" fillId="36" borderId="12" xfId="0" applyNumberFormat="1" applyFill="1" applyBorder="1" applyAlignment="1">
      <alignment horizontal="center" vertical="center" wrapText="1"/>
    </xf>
    <xf numFmtId="0" fontId="22" fillId="20" borderId="1" xfId="0" applyNumberFormat="1" applyFont="1" applyFill="1" applyBorder="1" applyAlignment="1">
      <alignment vertical="center" wrapText="1"/>
    </xf>
    <xf numFmtId="0" fontId="0" fillId="20" borderId="1" xfId="0" applyNumberFormat="1" applyFill="1" applyBorder="1" applyAlignment="1">
      <alignment horizontal="center" vertical="center" wrapText="1"/>
    </xf>
    <xf numFmtId="0" fontId="0" fillId="30" borderId="1" xfId="0" quotePrefix="1" applyFill="1" applyBorder="1" applyAlignment="1">
      <alignment horizontal="center" vertical="center" wrapText="1"/>
    </xf>
    <xf numFmtId="0" fontId="0" fillId="33" borderId="10" xfId="0" quotePrefix="1" applyFill="1" applyBorder="1" applyAlignment="1">
      <alignment horizontal="center" vertical="center" wrapText="1"/>
    </xf>
    <xf numFmtId="0" fontId="0" fillId="20" borderId="1" xfId="0" applyNumberFormat="1" applyFill="1" applyBorder="1" applyAlignment="1">
      <alignment wrapText="1"/>
    </xf>
    <xf numFmtId="0" fontId="0" fillId="36" borderId="10" xfId="0" quotePrefix="1" applyFill="1" applyBorder="1" applyAlignment="1">
      <alignment horizontal="center" vertical="center" wrapText="1"/>
    </xf>
    <xf numFmtId="0" fontId="0" fillId="27" borderId="1" xfId="0" applyFill="1" applyBorder="1" applyAlignment="1">
      <alignment horizontal="center" vertical="center" wrapText="1"/>
    </xf>
    <xf numFmtId="0" fontId="12" fillId="21" borderId="0" xfId="0" applyFont="1" applyFill="1" applyBorder="1" applyAlignment="1">
      <alignment horizontal="center" vertical="center" wrapText="1"/>
    </xf>
    <xf numFmtId="164" fontId="12" fillId="56" borderId="12" xfId="0" applyNumberFormat="1" applyFont="1" applyFill="1" applyBorder="1" applyAlignment="1">
      <alignment horizontal="center" vertical="center" wrapText="1"/>
    </xf>
    <xf numFmtId="0" fontId="22" fillId="59" borderId="12" xfId="0" applyFont="1" applyFill="1" applyBorder="1" applyAlignment="1">
      <alignment horizontal="center" vertical="center" wrapText="1"/>
    </xf>
    <xf numFmtId="0" fontId="22" fillId="15" borderId="7" xfId="0" applyFont="1" applyFill="1" applyBorder="1" applyAlignment="1">
      <alignment horizontal="center" vertical="center" wrapText="1"/>
    </xf>
    <xf numFmtId="0" fontId="22" fillId="20" borderId="15" xfId="1" applyFont="1" applyFill="1" applyBorder="1" applyAlignment="1">
      <alignment horizontal="center" vertical="center" wrapText="1"/>
    </xf>
    <xf numFmtId="164" fontId="12" fillId="37" borderId="0" xfId="0" applyNumberFormat="1" applyFont="1" applyFill="1" applyBorder="1" applyAlignment="1">
      <alignment horizontal="center" vertical="center" wrapText="1"/>
    </xf>
    <xf numFmtId="0" fontId="22" fillId="21" borderId="1" xfId="0" applyNumberFormat="1" applyFont="1" applyFill="1" applyBorder="1" applyAlignment="1">
      <alignment horizontal="center" vertical="center" wrapText="1"/>
    </xf>
    <xf numFmtId="0" fontId="22" fillId="20" borderId="12" xfId="0" applyNumberFormat="1" applyFont="1" applyFill="1" applyBorder="1" applyAlignment="1">
      <alignment horizontal="center" vertical="center" wrapText="1"/>
    </xf>
    <xf numFmtId="0" fontId="22" fillId="27" borderId="11" xfId="1" applyFont="1" applyFill="1" applyBorder="1" applyAlignment="1">
      <alignment horizontal="center" vertical="center" wrapText="1"/>
    </xf>
    <xf numFmtId="0" fontId="12" fillId="20" borderId="12" xfId="0" applyNumberFormat="1" applyFont="1" applyFill="1" applyBorder="1" applyAlignment="1">
      <alignment horizontal="center" vertical="center" wrapText="1"/>
    </xf>
    <xf numFmtId="0" fontId="12" fillId="27" borderId="11" xfId="0" quotePrefix="1" applyFont="1" applyFill="1" applyBorder="1" applyAlignment="1">
      <alignment horizontal="center" vertical="center" wrapText="1"/>
    </xf>
    <xf numFmtId="0" fontId="12" fillId="57" borderId="2" xfId="0" applyFont="1" applyFill="1" applyBorder="1" applyAlignment="1">
      <alignment horizontal="center" vertical="center" wrapText="1"/>
    </xf>
    <xf numFmtId="0" fontId="12" fillId="57" borderId="11" xfId="0" quotePrefix="1" applyFont="1" applyFill="1" applyBorder="1" applyAlignment="1">
      <alignment horizontal="center" vertical="center" wrapText="1"/>
    </xf>
    <xf numFmtId="0" fontId="12" fillId="20" borderId="7" xfId="0" applyNumberFormat="1" applyFont="1" applyFill="1" applyBorder="1" applyAlignment="1">
      <alignment horizontal="center" vertical="center" wrapText="1"/>
    </xf>
    <xf numFmtId="0" fontId="23" fillId="24" borderId="1" xfId="0" applyNumberFormat="1" applyFont="1" applyFill="1" applyBorder="1" applyAlignment="1">
      <alignment horizontal="center" vertical="center" wrapText="1"/>
    </xf>
    <xf numFmtId="0" fontId="23" fillId="34" borderId="12" xfId="0"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4" fontId="12" fillId="35" borderId="12" xfId="0" applyNumberFormat="1" applyFont="1" applyFill="1" applyBorder="1" applyAlignment="1">
      <alignment horizontal="center" vertical="center" wrapText="1"/>
    </xf>
    <xf numFmtId="0" fontId="12" fillId="34" borderId="7" xfId="0" quotePrefix="1" applyFont="1" applyFill="1" applyBorder="1" applyAlignment="1">
      <alignment horizontal="center" vertical="center" wrapText="1"/>
    </xf>
    <xf numFmtId="0" fontId="12" fillId="27" borderId="5" xfId="0" quotePrefix="1" applyFont="1" applyFill="1" applyBorder="1" applyAlignment="1">
      <alignment horizontal="center" vertical="center" wrapText="1"/>
    </xf>
    <xf numFmtId="0" fontId="12" fillId="35" borderId="7" xfId="0" quotePrefix="1" applyFont="1" applyFill="1" applyBorder="1" applyAlignment="1">
      <alignment horizontal="center" vertical="center" wrapText="1"/>
    </xf>
    <xf numFmtId="0" fontId="12" fillId="17" borderId="1" xfId="0" applyNumberFormat="1" applyFont="1" applyFill="1" applyBorder="1" applyAlignment="1">
      <alignment horizontal="center" vertical="center" wrapText="1"/>
    </xf>
    <xf numFmtId="0" fontId="22" fillId="23" borderId="1" xfId="0" applyNumberFormat="1" applyFont="1" applyFill="1" applyBorder="1" applyAlignment="1">
      <alignment horizontal="center" vertical="center" wrapText="1"/>
    </xf>
    <xf numFmtId="0" fontId="22" fillId="17" borderId="1"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2" fillId="27" borderId="2" xfId="0" applyFont="1" applyFill="1" applyBorder="1" applyAlignment="1">
      <alignment horizontal="center" vertical="center" wrapText="1"/>
    </xf>
    <xf numFmtId="0" fontId="12" fillId="30" borderId="5" xfId="0" quotePrefix="1" applyFont="1" applyFill="1" applyBorder="1" applyAlignment="1">
      <alignment horizontal="center" vertical="center" wrapText="1"/>
    </xf>
    <xf numFmtId="0" fontId="12" fillId="17" borderId="7" xfId="0" applyNumberFormat="1" applyFont="1" applyFill="1" applyBorder="1" applyAlignment="1">
      <alignment horizontal="center" vertical="center" wrapText="1"/>
    </xf>
    <xf numFmtId="0" fontId="12" fillId="15" borderId="2" xfId="0" applyFont="1" applyFill="1" applyBorder="1" applyAlignment="1">
      <alignment horizontal="center" vertical="center" wrapText="1"/>
    </xf>
    <xf numFmtId="0" fontId="0" fillId="21" borderId="12" xfId="0" applyFill="1" applyBorder="1" applyAlignment="1">
      <alignment horizontal="center" vertical="center" wrapText="1"/>
    </xf>
    <xf numFmtId="0" fontId="12" fillId="27" borderId="12" xfId="0" applyNumberFormat="1" applyFont="1" applyFill="1" applyBorder="1" applyAlignment="1">
      <alignment horizontal="center" vertical="center" wrapText="1"/>
    </xf>
    <xf numFmtId="0" fontId="22" fillId="27" borderId="12" xfId="1" applyNumberFormat="1" applyFont="1" applyFill="1" applyBorder="1" applyAlignment="1">
      <alignment horizontal="center" vertical="center" wrapText="1"/>
    </xf>
    <xf numFmtId="164" fontId="12" fillId="37" borderId="1" xfId="0" applyNumberFormat="1" applyFont="1" applyFill="1" applyBorder="1" applyAlignment="1">
      <alignment horizontal="center" vertical="center" wrapText="1"/>
    </xf>
    <xf numFmtId="0" fontId="12" fillId="37" borderId="1" xfId="0" applyFont="1" applyFill="1" applyBorder="1" applyAlignment="1">
      <alignment horizontal="center" vertical="center" wrapText="1"/>
    </xf>
    <xf numFmtId="0" fontId="12" fillId="16" borderId="12" xfId="0" quotePrefix="1" applyFont="1" applyFill="1" applyBorder="1" applyAlignment="1">
      <alignment horizontal="center" vertical="center" wrapText="1"/>
    </xf>
    <xf numFmtId="0" fontId="12" fillId="27" borderId="10" xfId="0" applyNumberFormat="1" applyFont="1" applyFill="1" applyBorder="1" applyAlignment="1">
      <alignment horizontal="center" vertical="center" wrapText="1"/>
    </xf>
    <xf numFmtId="0" fontId="12" fillId="37" borderId="1" xfId="0" quotePrefix="1" applyFont="1" applyFill="1" applyBorder="1" applyAlignment="1">
      <alignment horizontal="center" vertical="center" wrapText="1"/>
    </xf>
    <xf numFmtId="0" fontId="26" fillId="61" borderId="17" xfId="1" applyFont="1" applyFill="1" applyBorder="1" applyAlignment="1">
      <alignment horizontal="center" vertical="center" wrapText="1"/>
    </xf>
    <xf numFmtId="0" fontId="22" fillId="50" borderId="17" xfId="0" applyFont="1" applyFill="1" applyBorder="1" applyAlignment="1">
      <alignment horizontal="center" vertical="center" wrapText="1"/>
    </xf>
    <xf numFmtId="0" fontId="12" fillId="61" borderId="18" xfId="0" applyFont="1" applyFill="1" applyBorder="1" applyAlignment="1">
      <alignment horizontal="center" vertical="center" wrapText="1"/>
    </xf>
    <xf numFmtId="0" fontId="26" fillId="31" borderId="17" xfId="1" applyFont="1" applyFill="1" applyBorder="1" applyAlignment="1">
      <alignment horizontal="center" vertical="center" wrapText="1"/>
    </xf>
    <xf numFmtId="0" fontId="12" fillId="15" borderId="17" xfId="0" applyFont="1" applyFill="1" applyBorder="1" applyAlignment="1">
      <alignment horizontal="center" vertical="center" wrapText="1"/>
    </xf>
    <xf numFmtId="0" fontId="26" fillId="20" borderId="1" xfId="0" applyFont="1" applyFill="1" applyBorder="1" applyAlignment="1">
      <alignment horizontal="center" vertical="center" wrapText="1"/>
    </xf>
    <xf numFmtId="164" fontId="15" fillId="27" borderId="1" xfId="1" applyNumberFormat="1" applyFont="1" applyFill="1" applyBorder="1" applyAlignment="1">
      <alignment horizontal="center" vertical="center" wrapText="1"/>
    </xf>
    <xf numFmtId="0" fontId="22" fillId="61" borderId="17" xfId="0" applyFont="1" applyFill="1" applyBorder="1" applyAlignment="1">
      <alignment horizontal="center" vertical="center" wrapText="1"/>
    </xf>
    <xf numFmtId="0" fontId="22" fillId="15" borderId="18" xfId="0" applyFont="1" applyFill="1" applyBorder="1" applyAlignment="1">
      <alignment horizontal="center" vertical="center" wrapText="1"/>
    </xf>
    <xf numFmtId="0" fontId="12" fillId="28" borderId="18" xfId="0" applyFont="1" applyFill="1" applyBorder="1" applyAlignment="1">
      <alignment horizontal="center" vertical="center" wrapText="1"/>
    </xf>
    <xf numFmtId="0" fontId="12" fillId="29" borderId="1" xfId="0" quotePrefix="1" applyFont="1" applyFill="1" applyBorder="1" applyAlignment="1">
      <alignment horizontal="left" vertical="center" wrapText="1"/>
    </xf>
    <xf numFmtId="0" fontId="12" fillId="60" borderId="18" xfId="0" applyFont="1" applyFill="1" applyBorder="1" applyAlignment="1">
      <alignment horizontal="center" vertical="center" wrapText="1"/>
    </xf>
    <xf numFmtId="0" fontId="22" fillId="21" borderId="17" xfId="0" applyFont="1" applyFill="1" applyBorder="1" applyAlignment="1">
      <alignment horizontal="center" vertical="center" wrapText="1"/>
    </xf>
    <xf numFmtId="0" fontId="26" fillId="27" borderId="21" xfId="1" applyFont="1" applyFill="1" applyBorder="1" applyAlignment="1">
      <alignment horizontal="center" vertical="center" wrapText="1"/>
    </xf>
    <xf numFmtId="0" fontId="22" fillId="61" borderId="18" xfId="1" applyFont="1" applyFill="1" applyBorder="1" applyAlignment="1">
      <alignment horizontal="center" vertical="center" wrapText="1"/>
    </xf>
    <xf numFmtId="164" fontId="12" fillId="61" borderId="18" xfId="0" applyNumberFormat="1" applyFont="1" applyFill="1" applyBorder="1" applyAlignment="1">
      <alignment horizontal="center" vertical="center" wrapText="1"/>
    </xf>
    <xf numFmtId="0" fontId="12" fillId="31" borderId="19" xfId="0" applyFont="1" applyFill="1" applyBorder="1" applyAlignment="1">
      <alignment horizontal="center" vertical="center" wrapText="1"/>
    </xf>
    <xf numFmtId="0" fontId="12" fillId="27" borderId="18" xfId="0" quotePrefix="1" applyFont="1" applyFill="1" applyBorder="1" applyAlignment="1">
      <alignment horizontal="left" vertical="center" wrapText="1"/>
    </xf>
    <xf numFmtId="0" fontId="12" fillId="50" borderId="1" xfId="0" applyFont="1" applyFill="1" applyBorder="1" applyAlignment="1">
      <alignment horizontal="center" vertical="center" wrapText="1"/>
    </xf>
    <xf numFmtId="0" fontId="12" fillId="20" borderId="20" xfId="0" quotePrefix="1" applyFont="1" applyFill="1" applyBorder="1" applyAlignment="1">
      <alignment horizontal="center" vertical="center" wrapText="1"/>
    </xf>
    <xf numFmtId="0" fontId="12" fillId="61" borderId="16"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1" borderId="14" xfId="0" applyFont="1" applyFill="1" applyBorder="1" applyAlignment="1">
      <alignment horizontal="center" vertical="center" wrapText="1"/>
    </xf>
    <xf numFmtId="0" fontId="12" fillId="21" borderId="14" xfId="0" applyFont="1" applyFill="1" applyBorder="1" applyAlignment="1">
      <alignment horizontal="center" vertical="center" wrapText="1"/>
    </xf>
    <xf numFmtId="0" fontId="19" fillId="20" borderId="14" xfId="0" applyFont="1" applyFill="1" applyBorder="1" applyAlignment="1">
      <alignment horizontal="center" vertical="center" wrapText="1"/>
    </xf>
    <xf numFmtId="0" fontId="19" fillId="20" borderId="4" xfId="0" applyFont="1" applyFill="1" applyBorder="1" applyAlignment="1">
      <alignment horizontal="center" vertical="center" wrapText="1"/>
    </xf>
    <xf numFmtId="0" fontId="12" fillId="20" borderId="4" xfId="0" applyFont="1" applyFill="1" applyBorder="1" applyAlignment="1">
      <alignment horizontal="center" vertical="center" wrapText="1"/>
    </xf>
    <xf numFmtId="0" fontId="12" fillId="20" borderId="9" xfId="0" applyFont="1" applyFill="1" applyBorder="1" applyAlignment="1">
      <alignment horizontal="center" vertical="center" wrapText="1"/>
    </xf>
    <xf numFmtId="0" fontId="12" fillId="26" borderId="14" xfId="0" applyFont="1" applyFill="1" applyBorder="1" applyAlignment="1">
      <alignment horizontal="center" vertical="center" wrapText="1"/>
    </xf>
    <xf numFmtId="0" fontId="12" fillId="23" borderId="9" xfId="0" applyFont="1" applyFill="1" applyBorder="1" applyAlignment="1">
      <alignment horizontal="center" vertical="center" wrapText="1"/>
    </xf>
    <xf numFmtId="0" fontId="12" fillId="16" borderId="4" xfId="0" applyFont="1" applyFill="1" applyBorder="1" applyAlignment="1">
      <alignment horizontal="center" vertical="center" wrapText="1"/>
    </xf>
    <xf numFmtId="0" fontId="12" fillId="32" borderId="4" xfId="0" applyFont="1" applyFill="1" applyBorder="1" applyAlignment="1">
      <alignment horizontal="center" vertical="center" wrapText="1"/>
    </xf>
    <xf numFmtId="0" fontId="12" fillId="36" borderId="4" xfId="0" applyFont="1" applyFill="1" applyBorder="1" applyAlignment="1">
      <alignment horizontal="center" vertical="center" wrapText="1"/>
    </xf>
    <xf numFmtId="0" fontId="12" fillId="23" borderId="4" xfId="0" applyFont="1" applyFill="1" applyBorder="1" applyAlignment="1">
      <alignment horizontal="center" vertical="center" wrapText="1"/>
    </xf>
    <xf numFmtId="0" fontId="19" fillId="54" borderId="14" xfId="0" applyFont="1" applyFill="1" applyBorder="1" applyAlignment="1">
      <alignment horizontal="center" vertical="center" wrapText="1"/>
    </xf>
    <xf numFmtId="0" fontId="19" fillId="42" borderId="4" xfId="0" applyFont="1" applyFill="1" applyBorder="1" applyAlignment="1">
      <alignment horizontal="center" vertical="center" wrapText="1"/>
    </xf>
    <xf numFmtId="0" fontId="19" fillId="47" borderId="14" xfId="0" applyFont="1" applyFill="1" applyBorder="1" applyAlignment="1">
      <alignment horizontal="center" vertical="center" wrapText="1"/>
    </xf>
    <xf numFmtId="0" fontId="19" fillId="55" borderId="14"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2" fillId="51" borderId="4" xfId="0" applyFont="1" applyFill="1" applyBorder="1" applyAlignment="1">
      <alignment horizontal="center" vertical="center" wrapText="1"/>
    </xf>
    <xf numFmtId="0" fontId="12" fillId="27" borderId="14"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12" fillId="38" borderId="10" xfId="0" applyFont="1" applyFill="1" applyBorder="1" applyAlignment="1">
      <alignment horizontal="center" vertical="center" wrapText="1"/>
    </xf>
    <xf numFmtId="0" fontId="22" fillId="26" borderId="1" xfId="1" applyFont="1" applyFill="1" applyBorder="1" applyAlignment="1">
      <alignment horizontal="center" vertical="center" wrapText="1"/>
    </xf>
    <xf numFmtId="0" fontId="12" fillId="26" borderId="10" xfId="0" quotePrefix="1" applyFont="1" applyFill="1" applyBorder="1" applyAlignment="1">
      <alignment horizontal="center" vertical="center" wrapText="1"/>
    </xf>
    <xf numFmtId="0" fontId="12" fillId="26" borderId="1" xfId="0" applyNumberFormat="1" applyFont="1" applyFill="1" applyBorder="1" applyAlignment="1">
      <alignment horizontal="center" vertical="center" wrapText="1"/>
    </xf>
    <xf numFmtId="0" fontId="22" fillId="26" borderId="1" xfId="0" applyNumberFormat="1" applyFont="1" applyFill="1" applyBorder="1" applyAlignment="1">
      <alignment horizontal="center" vertical="center" wrapText="1"/>
    </xf>
    <xf numFmtId="164" fontId="12" fillId="26" borderId="1" xfId="0" applyNumberFormat="1" applyFont="1" applyFill="1" applyBorder="1" applyAlignment="1">
      <alignment horizontal="center" vertical="center" wrapText="1"/>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1" fillId="5" borderId="2" xfId="0" applyFont="1" applyFill="1" applyBorder="1" applyAlignment="1">
      <alignment horizontal="center" vertical="top" wrapText="1"/>
    </xf>
    <xf numFmtId="0" fontId="1" fillId="5" borderId="3" xfId="0" applyFont="1" applyFill="1" applyBorder="1" applyAlignment="1">
      <alignment horizontal="center" vertical="top" wrapText="1"/>
    </xf>
    <xf numFmtId="0" fontId="1" fillId="5" borderId="4" xfId="0" applyFont="1" applyFill="1" applyBorder="1" applyAlignment="1">
      <alignment horizontal="center" vertical="top" wrapText="1"/>
    </xf>
    <xf numFmtId="0" fontId="1" fillId="5" borderId="5" xfId="0" applyFont="1" applyFill="1" applyBorder="1" applyAlignment="1">
      <alignment horizontal="center" vertical="top" wrapText="1"/>
    </xf>
    <xf numFmtId="0" fontId="1" fillId="5" borderId="0" xfId="0" applyFont="1" applyFill="1" applyAlignment="1">
      <alignment horizontal="center" vertical="top" wrapText="1"/>
    </xf>
    <xf numFmtId="0" fontId="1" fillId="5" borderId="6" xfId="0" applyFont="1" applyFill="1" applyBorder="1" applyAlignment="1">
      <alignment horizontal="center" vertical="top" wrapText="1"/>
    </xf>
    <xf numFmtId="0" fontId="1" fillId="5" borderId="7" xfId="0" applyFont="1" applyFill="1" applyBorder="1" applyAlignment="1">
      <alignment horizontal="center" vertical="top" wrapText="1"/>
    </xf>
    <xf numFmtId="0" fontId="1" fillId="5" borderId="8" xfId="0" applyFont="1" applyFill="1" applyBorder="1" applyAlignment="1">
      <alignment horizontal="center" vertical="top" wrapText="1"/>
    </xf>
    <xf numFmtId="0" fontId="1" fillId="5" borderId="9" xfId="0" applyFont="1" applyFill="1" applyBorder="1" applyAlignment="1">
      <alignment horizontal="center"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2" fillId="3" borderId="0" xfId="0" applyFont="1" applyFill="1" applyAlignment="1">
      <alignment horizontal="center" vertical="center"/>
    </xf>
    <xf numFmtId="0" fontId="2" fillId="13" borderId="0" xfId="0" applyFont="1" applyFill="1" applyAlignment="1">
      <alignment horizontal="center" vertical="center"/>
    </xf>
    <xf numFmtId="0" fontId="2" fillId="8" borderId="0" xfId="0" applyFont="1" applyFill="1" applyAlignment="1">
      <alignment horizontal="center" vertical="center" wrapText="1"/>
    </xf>
  </cellXfs>
  <cellStyles count="2">
    <cellStyle name="Lien hypertexte" xfId="1" builtinId="8"/>
    <cellStyle name="Normal" xfId="0" builtinId="0"/>
  </cellStyles>
  <dxfs count="288">
    <dxf>
      <font>
        <b val="0"/>
        <i val="0"/>
        <strike val="0"/>
        <outline val="0"/>
        <shadow val="0"/>
        <u val="none"/>
        <vertAlign val="baseline"/>
        <sz val="11"/>
        <color auto="1"/>
        <name val="Calibri"/>
        <scheme val="minor"/>
      </font>
      <numFmt numFmtId="0" formatCode="General"/>
      <fill>
        <patternFill patternType="solid">
          <fgColor indexed="64"/>
          <bgColor theme="0"/>
        </patternFill>
      </fill>
      <alignment textRotation="0" wrapText="1" indent="0" justifyLastLine="0" shrinkToFit="0" readingOrder="0"/>
    </dxf>
    <dxf>
      <font>
        <b val="0"/>
        <i val="0"/>
        <strike val="0"/>
        <outline val="0"/>
        <shadow val="0"/>
        <u val="none"/>
        <vertAlign val="baseline"/>
        <sz val="11"/>
        <color auto="1"/>
        <name val="Calibri"/>
        <scheme val="minor"/>
      </font>
      <numFmt numFmtId="0" formatCode="General"/>
      <fill>
        <patternFill patternType="solid">
          <fgColor indexed="64"/>
          <bgColor theme="0"/>
        </patternFill>
      </fill>
      <alignment textRotation="0" wrapText="1" indent="0" justifyLastLine="0" shrinkToFit="0" readingOrder="0"/>
      <border outline="0">
        <left style="thin">
          <color indexed="64"/>
        </left>
      </border>
    </dxf>
    <dxf>
      <font>
        <b val="0"/>
        <i val="0"/>
        <strike val="0"/>
        <outline val="0"/>
        <shadow val="0"/>
        <u/>
        <vertAlign val="baseline"/>
        <sz val="11"/>
        <color theme="4"/>
        <name val="Calibri"/>
        <scheme val="minor"/>
      </font>
      <numFmt numFmtId="0" formatCode="General"/>
      <fill>
        <patternFill patternType="solid">
          <fgColor theme="0"/>
          <bgColor rgb="FFCCECFF"/>
        </patternFill>
      </fill>
      <alignment horizontal="center" vertical="center" textRotation="0" wrapText="1" indent="0" justifyLastLine="0" shrinkToFit="0" readingOrder="0"/>
      <border diagonalUp="0" diagonalDown="0" outline="0">
        <left/>
        <right/>
        <top style="thin">
          <color indexed="64"/>
        </top>
        <bottom style="thin">
          <color theme="4" tint="0.39997558519241921"/>
        </bottom>
      </border>
    </dxf>
    <dxf>
      <font>
        <b val="0"/>
        <i val="0"/>
        <strike val="0"/>
        <outline val="0"/>
        <shadow val="0"/>
        <vertAlign val="baseline"/>
        <sz val="11"/>
        <color auto="1"/>
        <name val="Calibri"/>
        <scheme val="minor"/>
      </font>
      <numFmt numFmtId="164" formatCode="0#&quot; &quot;##&quot; &quot;##&quot; &quot;##&quot; &quot;##"/>
      <fill>
        <patternFill patternType="solid">
          <fgColor indexed="64"/>
          <bgColor theme="0"/>
        </patternFill>
      </fill>
      <alignment textRotation="0" wrapText="1" indent="0" justifyLastLine="0" shrinkToFit="0" readingOrder="0"/>
      <border outline="0">
        <right style="thin">
          <color indexed="64"/>
        </right>
      </border>
    </dxf>
    <dxf>
      <font>
        <b val="0"/>
        <strike val="0"/>
        <outline val="0"/>
        <shadow val="0"/>
        <u/>
        <vertAlign val="baseline"/>
        <sz val="11"/>
        <color theme="4"/>
        <name val="Calibri"/>
        <scheme val="minor"/>
      </font>
      <numFmt numFmtId="0" formatCode="General"/>
      <fill>
        <patternFill patternType="solid">
          <fgColor indexed="64"/>
          <bgColor theme="0"/>
        </patternFill>
      </fill>
      <alignment textRotation="0" wrapText="1" indent="0" justifyLastLine="0" shrinkToFit="0" readingOrder="0"/>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style="thin">
          <color theme="4" tint="0.39997558519241921"/>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style="thin">
          <color theme="4" tint="0.39997558519241921"/>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style="thin">
          <color theme="4" tint="0.39997558519241921"/>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style="thin">
          <color indexed="64"/>
        </left>
        <right/>
        <top style="thin">
          <color indexed="64"/>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solid">
          <fgColor theme="0"/>
          <bgColor theme="0"/>
        </patternFill>
      </fill>
      <alignment horizontal="center" vertical="center" textRotation="0" wrapText="0" indent="0" justifyLastLine="0" shrinkToFit="0" readingOrder="0"/>
      <border diagonalUp="0" diagonalDown="0" outline="0">
        <left style="thin">
          <color indexed="64"/>
        </left>
        <right/>
        <top style="thin">
          <color theme="4" tint="0.39997558519241921"/>
        </top>
        <bottom style="thin">
          <color theme="4" tint="0.39997558519241921"/>
        </bottom>
      </border>
    </dxf>
    <dxf>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fgColor rgb="FF000000"/>
          <bgColor rgb="FFFFFFFF"/>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fgColor rgb="FF000000"/>
          <bgColor rgb="FFFFFFFF"/>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rgb="FF000000"/>
          <bgColor rgb="FFFFFFFF"/>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ill>
        <patternFill>
          <fgColor rgb="FF000000"/>
          <bgColor rgb="FFFFFFFF"/>
        </patternFill>
      </fill>
      <alignment horizontal="left" vertical="center" textRotation="0" wrapText="0" indent="0" justifyLastLine="0" shrinkToFit="0" readingOrder="0"/>
    </dxf>
    <dxf>
      <border>
        <bottom style="thin">
          <color rgb="FF000000"/>
        </bottom>
      </border>
    </dxf>
    <dxf>
      <fill>
        <patternFill>
          <fgColor indexed="64"/>
          <bgColor theme="0"/>
        </patternFill>
      </fill>
      <border diagonalUp="0" diagonalDown="0">
        <left style="thin">
          <color indexed="64"/>
        </left>
        <right style="thin">
          <color indexed="64"/>
        </right>
        <top/>
        <bottom/>
        <vertical style="thin">
          <color indexed="64"/>
        </vertical>
        <horizontal style="thin">
          <color indexed="64"/>
        </horizontal>
      </border>
    </dxf>
    <dxf>
      <fill>
        <patternFill>
          <fgColor rgb="FF000000"/>
          <bgColor rgb="FFFFFFFF"/>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ill>
        <patternFill>
          <fgColor rgb="FF000000"/>
          <bgColor rgb="FFFFFFFF"/>
        </patternFill>
      </fill>
      <alignment horizontal="left" vertical="center" textRotation="0" wrapText="1" indent="0" justifyLastLine="0" shrinkToFit="0" readingOrder="0"/>
    </dxf>
    <dxf>
      <border>
        <bottom style="thin">
          <color rgb="FF000000"/>
        </bottom>
      </border>
    </dxf>
    <dxf>
      <fill>
        <patternFill>
          <fgColor indexed="64"/>
          <bgColor theme="0"/>
        </patternFill>
      </fill>
      <border diagonalUp="0" diagonalDown="0">
        <left style="thin">
          <color indexed="64"/>
        </left>
        <right style="thin">
          <color indexed="64"/>
        </right>
        <top/>
        <bottom/>
        <vertical style="thin">
          <color indexed="64"/>
        </vertical>
        <horizontal style="thin">
          <color indexed="64"/>
        </horizontal>
      </border>
    </dxf>
    <dxf>
      <fill>
        <patternFill>
          <fgColor rgb="FF000000"/>
          <bgColor rgb="FFFFFFFF"/>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rgb="FF000000"/>
          <bgColor rgb="FFFFFFFF"/>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ill>
        <patternFill>
          <fgColor rgb="FF000000"/>
          <bgColor rgb="FFFFFFFF"/>
        </patternFill>
      </fill>
      <alignment horizontal="left" vertical="center" textRotation="0" wrapText="1" indent="0" justifyLastLine="0" shrinkToFit="0" readingOrder="0"/>
    </dxf>
    <dxf>
      <border>
        <bottom style="thin">
          <color rgb="FF000000"/>
        </bottom>
      </border>
    </dxf>
    <dxf>
      <fill>
        <patternFill>
          <fgColor indexed="64"/>
          <bgColor theme="0"/>
        </patternFill>
      </fill>
      <border diagonalUp="0" diagonalDown="0">
        <left style="thin">
          <color indexed="64"/>
        </left>
        <right style="thin">
          <color indexed="64"/>
        </right>
        <top/>
        <bottom/>
        <vertical style="thin">
          <color indexed="64"/>
        </vertical>
        <horizontal style="thin">
          <color indexed="64"/>
        </horizontal>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dxf>
    <dxf>
      <border>
        <bottom style="thin">
          <color indexed="64"/>
        </bottom>
      </border>
    </dxf>
    <dxf>
      <fill>
        <patternFill>
          <fgColor indexed="64"/>
          <bgColor theme="0"/>
        </patternFill>
      </fill>
      <border diagonalUp="0" diagonalDown="0">
        <left style="thin">
          <color indexed="64"/>
        </left>
        <right style="thin">
          <color indexed="64"/>
        </right>
        <top/>
        <bottom/>
        <vertical style="thin">
          <color indexed="64"/>
        </vertical>
        <horizontal style="thin">
          <color indexed="64"/>
        </horizontal>
      </border>
    </dxf>
    <dxf>
      <fill>
        <patternFill>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1" indent="0" justifyLastLine="0" shrinkToFit="0" readingOrder="0"/>
    </dxf>
    <dxf>
      <border>
        <bottom style="thin">
          <color indexed="64"/>
        </bottom>
      </border>
    </dxf>
    <dxf>
      <font>
        <b/>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11"/>
        <color auto="1"/>
        <name val="Calibri"/>
        <scheme val="minor"/>
      </font>
      <numFmt numFmtId="0" formatCode="General"/>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theme="0"/>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outline val="0"/>
        <shadow val="0"/>
        <u/>
        <vertAlign val="baseline"/>
        <sz val="11"/>
        <color theme="4"/>
        <name val="Calibri"/>
        <scheme val="minor"/>
      </font>
      <numFmt numFmtId="0" formatCode="General"/>
      <fill>
        <patternFill>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scheme val="minor"/>
      </font>
      <numFmt numFmtId="164" formatCode="0#&quot; &quot;##&quot; &quot;##&quot; &quot;##&quot; &quot;##"/>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outline val="0"/>
        <shadow val="0"/>
        <u/>
        <vertAlign val="baseline"/>
        <sz val="11"/>
        <color theme="4"/>
        <name val="Calibri"/>
        <scheme val="minor"/>
      </font>
      <numFmt numFmtId="0" formatCode="General"/>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ttom style="thin">
          <color indexed="64"/>
        </bottom>
      </border>
    </dxf>
    <dxf>
      <fill>
        <patternFill patternType="solid">
          <fgColor theme="0"/>
          <bgColor theme="0"/>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E4F0DC"/>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strike val="0"/>
        <outline val="0"/>
        <shadow val="0"/>
        <u val="none"/>
        <vertAlign val="baseline"/>
        <sz val="11"/>
        <color auto="1"/>
        <name val="Calibri"/>
        <scheme val="minor"/>
      </font>
      <numFmt numFmtId="0" formatCode="General"/>
      <alignment horizontal="center" vertical="center" textRotation="0" wrapText="1" indent="0" justifyLastLine="0" shrinkToFit="0" readingOrder="0"/>
    </dxf>
    <dxf>
      <font>
        <b val="0"/>
        <strike val="0"/>
        <outline val="0"/>
        <shadow val="0"/>
        <u val="none"/>
        <vertAlign val="baseline"/>
        <sz val="11"/>
        <color auto="1"/>
        <name val="Calibri"/>
        <scheme val="minor"/>
      </font>
      <numFmt numFmtId="0" formatCode="General"/>
      <alignment horizontal="center" vertical="center" textRotation="0" wrapText="1" indent="0" justifyLastLine="0" shrinkToFit="0" readingOrder="0"/>
      <border outline="0">
        <left style="thin">
          <color indexed="64"/>
        </left>
        <right style="thin">
          <color indexed="64"/>
        </right>
      </border>
    </dxf>
    <dxf>
      <font>
        <b val="0"/>
        <i val="0"/>
        <strike val="0"/>
        <outline val="0"/>
        <shadow val="0"/>
        <u/>
        <vertAlign val="baseline"/>
        <sz val="11"/>
        <color theme="4"/>
        <name val="Calibri"/>
        <scheme val="minor"/>
      </font>
      <numFmt numFmtId="0" formatCode="General"/>
      <border outline="0">
        <right style="thin">
          <color indexed="64"/>
        </right>
      </border>
    </dxf>
    <dxf>
      <font>
        <b val="0"/>
        <strike val="0"/>
        <outline val="0"/>
        <shadow val="0"/>
        <u val="none"/>
        <vertAlign val="baseline"/>
        <sz val="11"/>
        <color auto="1"/>
        <name val="Calibri"/>
        <scheme val="minor"/>
      </font>
      <numFmt numFmtId="0" formatCode="General"/>
      <border outline="0">
        <left style="thin">
          <color indexed="64"/>
        </left>
        <right style="thin">
          <color indexed="64"/>
        </right>
      </border>
    </dxf>
    <dxf>
      <font>
        <b val="0"/>
        <i val="0"/>
        <strike val="0"/>
        <outline val="0"/>
        <shadow val="0"/>
        <u/>
        <vertAlign val="baseline"/>
        <sz val="11"/>
        <color theme="4"/>
        <name val="Calibri"/>
        <scheme val="minor"/>
      </font>
      <numFmt numFmtId="0" formatCode="General"/>
    </dxf>
    <dxf>
      <numFmt numFmtId="0" formatCode="General"/>
      <border outline="0">
        <right style="thin">
          <color indexed="64"/>
        </right>
      </border>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auto="1"/>
        <name val="Calibri"/>
        <scheme val="minor"/>
      </font>
      <fill>
        <patternFill patternType="solid">
          <fgColor theme="0"/>
          <bgColor theme="0"/>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0" formatCode="General"/>
    </dxf>
    <dxf>
      <numFmt numFmtId="0" formatCode="General"/>
      <border outline="0">
        <left style="thin">
          <color indexed="64"/>
        </left>
      </border>
    </dxf>
    <dxf>
      <font>
        <b val="0"/>
        <i val="0"/>
        <strike val="0"/>
        <outline val="0"/>
        <shadow val="0"/>
        <u/>
        <vertAlign val="baseline"/>
        <sz val="11"/>
        <color theme="4"/>
        <name val="Calibri"/>
        <scheme val="minor"/>
      </font>
      <numFmt numFmtId="0" formatCode="General"/>
      <fill>
        <patternFill patternType="solid">
          <fgColor theme="0"/>
          <bgColor rgb="FFCCEC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numFmt numFmtId="164" formatCode="0#&quot; &quot;##&quot; &quot;##&quot; &quot;##&quot; &quot;##"/>
      <border outline="0">
        <right style="thin">
          <color indexed="64"/>
        </right>
      </border>
    </dxf>
    <dxf>
      <font>
        <b val="0"/>
        <i val="0"/>
        <strike val="0"/>
        <outline val="0"/>
        <shadow val="0"/>
        <u/>
        <vertAlign val="baseline"/>
        <sz val="11"/>
        <color theme="4"/>
        <name val="Calibri"/>
        <scheme val="minor"/>
      </font>
      <numFmt numFmtId="0" formatCode="General"/>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right/>
        <top style="thin">
          <color indexed="64"/>
        </top>
        <bottom/>
      </border>
    </dxf>
    <dxf>
      <font>
        <b val="0"/>
        <i val="0"/>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scheme val="minor"/>
      </font>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top/>
        <bottom/>
      </border>
    </dxf>
    <dxf>
      <border outline="0">
        <right style="thin">
          <color indexed="64"/>
        </right>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fill>
        <patternFill patternType="lightUp">
          <fgColor theme="0"/>
          <bgColor theme="0" tint="-0.1499679555650502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outline val="0"/>
        <shadow val="0"/>
        <u/>
        <vertAlign val="baseline"/>
        <sz val="11"/>
        <color theme="4"/>
        <name val="Calibri"/>
        <scheme val="minor"/>
      </font>
      <numFmt numFmtId="0" formatCode="General"/>
      <fill>
        <patternFill patternType="lightUp">
          <fgColor theme="0"/>
          <bgColor theme="0" tint="-0.14996795556505021"/>
        </patternFill>
      </fill>
      <alignment horizontal="center" vertical="center" textRotation="0" wrapText="1" indent="0" justifyLastLine="0" shrinkToFit="0" readingOrder="0"/>
      <border diagonalUp="0" diagonalDown="0" outline="0">
        <left/>
        <right/>
        <top style="thin">
          <color indexed="64"/>
        </top>
        <bottom/>
      </border>
    </dxf>
    <dxf>
      <font>
        <b val="0"/>
        <i val="0"/>
        <strike val="0"/>
        <outline val="0"/>
        <shadow val="0"/>
        <u val="none"/>
        <vertAlign val="baseline"/>
        <sz val="11"/>
        <color auto="1"/>
        <name val="Calibri"/>
        <scheme val="minor"/>
      </font>
      <numFmt numFmtId="164" formatCode="0#&quot; &quot;##&quot; &quot;##&quot; &quot;##&quot; &quot;##"/>
      <border outline="0">
        <right style="thin">
          <color indexed="64"/>
        </right>
      </border>
    </dxf>
    <dxf>
      <font>
        <b val="0"/>
        <i val="0"/>
        <strike val="0"/>
        <outline val="0"/>
        <shadow val="0"/>
        <vertAlign val="baseline"/>
        <sz val="11"/>
        <color theme="4"/>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condense val="0"/>
        <extend val="0"/>
        <outline val="0"/>
        <shadow val="0"/>
        <u val="none"/>
        <vertAlign val="baseline"/>
        <sz val="11"/>
        <color auto="1"/>
        <name val="Calibri"/>
        <scheme val="minor"/>
      </font>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top/>
        <bottom/>
      </border>
    </dxf>
    <dxf>
      <border outline="0">
        <right style="thin">
          <color indexed="64"/>
        </right>
      </border>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ertAlign val="baseline"/>
        <sz val="11"/>
        <color theme="4"/>
        <name val="Calibri"/>
        <scheme val="minor"/>
      </font>
      <numFmt numFmtId="0" formatCode="General"/>
    </dxf>
    <dxf>
      <font>
        <b val="0"/>
        <i val="0"/>
        <strike val="0"/>
        <outline val="0"/>
        <shadow val="0"/>
        <u val="none"/>
        <vertAlign val="baseline"/>
        <sz val="11"/>
        <color auto="1"/>
        <name val="Calibri"/>
        <scheme val="minor"/>
      </font>
      <numFmt numFmtId="164" formatCode="0#&quot; &quot;##&quot; &quot;##&quot; &quot;##&quot; &quot;##"/>
      <border outline="0">
        <left style="thin">
          <color indexed="64"/>
        </left>
        <right/>
      </border>
    </dxf>
    <dxf>
      <font>
        <b val="0"/>
        <i val="0"/>
        <strike val="0"/>
        <outline val="0"/>
        <shadow val="0"/>
        <u/>
        <vertAlign val="baseline"/>
        <sz val="11"/>
        <color theme="4"/>
        <name val="Calibri"/>
        <scheme val="minor"/>
      </font>
      <numFmt numFmtId="0" formatCode="General"/>
    </dxf>
    <dxf>
      <font>
        <b val="0"/>
        <i val="0"/>
        <strike val="0"/>
        <outline val="0"/>
        <shadow val="0"/>
        <u val="none"/>
        <vertAlign val="baseline"/>
        <sz val="11"/>
        <color auto="1"/>
        <name val="Calibri"/>
        <scheme val="minor"/>
      </font>
      <numFmt numFmtId="0" formatCode="General"/>
      <border outline="0">
        <right style="thin">
          <color indexed="64"/>
        </right>
      </border>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condense val="0"/>
        <extend val="0"/>
        <outline val="0"/>
        <shadow val="0"/>
        <u val="none"/>
        <vertAlign val="baseline"/>
        <sz val="11"/>
        <color auto="1"/>
        <name val="Calibri"/>
        <scheme val="minor"/>
      </font>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top/>
        <bottom/>
      </border>
    </dxf>
    <dxf>
      <border outline="0">
        <right style="thin">
          <color indexed="64"/>
        </right>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0" formatCode="General"/>
      <fill>
        <patternFill patternType="none">
          <fgColor theme="0"/>
          <bgColor auto="1"/>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border>
    </dxf>
    <dxf>
      <numFmt numFmtId="0" formatCode="General"/>
      <fill>
        <patternFill patternType="none">
          <fgColor theme="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theme="0"/>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outline val="0"/>
        <shadow val="0"/>
        <u val="none"/>
        <vertAlign val="baseline"/>
        <sz val="11"/>
        <color auto="1"/>
        <name val="Calibri"/>
        <scheme val="minor"/>
      </font>
      <numFmt numFmtId="164" formatCode="0#&quot; &quot;##&quot; &quot;##&quot; &quot;##&quot; &quot;##"/>
      <fill>
        <patternFill patternType="none">
          <fgColor theme="0"/>
          <bgColor auto="1"/>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outline val="0"/>
        <shadow val="0"/>
        <u/>
        <vertAlign val="baseline"/>
        <sz val="11"/>
        <color theme="4"/>
        <name val="Calibri"/>
        <scheme val="minor"/>
      </font>
      <numFmt numFmtId="0" formatCode="General"/>
      <fill>
        <patternFill patternType="none">
          <fgColor theme="0"/>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border outline="0">
        <left style="thin">
          <color indexed="64"/>
        </left>
        <right/>
      </border>
    </dxf>
    <dxf>
      <font>
        <b val="0"/>
        <i val="0"/>
        <strike val="0"/>
        <outline val="0"/>
        <shadow val="0"/>
        <u/>
        <vertAlign val="baseline"/>
        <sz val="11"/>
        <color theme="4"/>
        <name val="Calibri"/>
        <scheme val="minor"/>
      </font>
      <numFmt numFmtId="0" formatCode="General"/>
    </dxf>
    <dxf>
      <font>
        <b val="0"/>
        <i val="0"/>
        <strike val="0"/>
        <outline val="0"/>
        <shadow val="0"/>
        <u val="none"/>
        <vertAlign val="baseline"/>
        <sz val="11"/>
        <color auto="1"/>
      </font>
      <numFmt numFmtId="0" formatCode="General"/>
      <alignment horizontal="center" vertical="center" textRotation="0" indent="0" justifyLastLine="0" shrinkToFit="0" readingOrder="0"/>
      <border outline="0">
        <left style="thin">
          <color indexed="64"/>
        </left>
        <right style="thin">
          <color indexed="64"/>
        </right>
      </border>
    </dxf>
    <dxf>
      <font>
        <b val="0"/>
        <i val="0"/>
        <strike val="0"/>
        <outline val="0"/>
        <shadow val="0"/>
        <u/>
        <vertAlign val="baseline"/>
        <sz val="11"/>
        <color theme="4"/>
        <name val="Calibri"/>
        <scheme val="minor"/>
      </font>
      <numFmt numFmtId="0" formatCode="General"/>
    </dxf>
    <dxf>
      <font>
        <b val="0"/>
        <i val="0"/>
        <strike val="0"/>
        <outline val="0"/>
        <shadow val="0"/>
        <u val="none"/>
        <vertAlign val="baseline"/>
        <sz val="11"/>
        <color auto="1"/>
        <name val="Calibri"/>
        <scheme val="minor"/>
      </font>
      <numFmt numFmtId="0" formatCode="General"/>
      <border outline="0">
        <right style="thin">
          <color indexed="64"/>
        </right>
      </border>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outline val="0"/>
        <shadow val="0"/>
        <u val="none"/>
        <vertAlign val="baseline"/>
        <sz val="11"/>
        <color auto="1"/>
        <name val="Calibri"/>
        <scheme val="minor"/>
      </font>
      <numFmt numFmtId="0" formatCode="General"/>
    </dxf>
    <dxf>
      <font>
        <b val="0"/>
        <i val="0"/>
        <strike val="0"/>
        <condense val="0"/>
        <extend val="0"/>
        <outline val="0"/>
        <shadow val="0"/>
        <u val="none"/>
        <vertAlign val="baseline"/>
        <sz val="11"/>
        <color auto="1"/>
        <name val="Calibri"/>
        <scheme val="minor"/>
      </font>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top/>
        <bottom/>
      </border>
    </dxf>
    <dxf>
      <border outline="0">
        <right style="thin">
          <color indexed="64"/>
        </right>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0" formatCode="General"/>
    </dxf>
    <dxf>
      <numFmt numFmtId="0" formatCode="General"/>
      <fill>
        <patternFill patternType="lightUp">
          <fgColor theme="0"/>
          <bgColor theme="0" tint="-0.14996795556505021"/>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outline val="0"/>
        <shadow val="0"/>
        <u/>
        <vertAlign val="baseline"/>
        <sz val="11"/>
        <color theme="4"/>
        <name val="Calibri"/>
        <scheme val="minor"/>
      </font>
      <numFmt numFmtId="0" formatCode="General"/>
      <alignment vertical="center" textRotation="0" wrapText="1" indent="0" justifyLastLine="0" shrinkToFit="0" readingOrder="0"/>
    </dxf>
    <dxf>
      <numFmt numFmtId="164" formatCode="0#&quot; &quot;##&quot; &quot;##&quot; &quot;##&quot; &quot;##"/>
      <fill>
        <patternFill patternType="solid">
          <fgColor theme="0"/>
          <bgColor rgb="FFCCECFF"/>
        </patternFill>
      </fill>
      <alignment horizontal="center" vertical="center" textRotation="0" wrapText="1" indent="0" justifyLastLine="0" shrinkToFit="0" readingOrder="0"/>
      <border diagonalUp="0" diagonalDown="0" outline="0">
        <left style="thin">
          <color indexed="64"/>
        </left>
        <right/>
        <top style="thin">
          <color indexed="64"/>
        </top>
        <bottom/>
      </border>
    </dxf>
    <dxf>
      <numFmt numFmtId="0" formatCode="General"/>
      <fill>
        <patternFill patternType="solid">
          <fgColor theme="0"/>
          <bgColor rgb="FFCCEC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0" formatCode="General"/>
      <fill>
        <patternFill patternType="solid">
          <fgColor indexed="64"/>
          <bgColor rgb="FFCCEC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ertAlign val="baseline"/>
        <sz val="11"/>
        <color theme="4"/>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scheme val="minor"/>
      </font>
      <numFmt numFmtId="164" formatCode="0#&quot; &quot;##&quot; &quot;##&quot; &quot;##&quot; &quo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outline val="0"/>
        <shadow val="0"/>
        <u/>
        <vertAlign val="baseline"/>
        <sz val="11"/>
        <color theme="4"/>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theme="0"/>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outline val="0"/>
        <shadow val="0"/>
        <u val="none"/>
        <vertAlign val="baseline"/>
        <color auto="1"/>
        <name val="Calibri"/>
      </font>
      <fill>
        <patternFill patternType="solid">
          <fgColor theme="0"/>
          <bgColor theme="0"/>
        </patternFill>
      </fill>
      <alignment horizontal="center" vertical="center" textRotation="0" wrapText="1" indent="0" justifyLastLine="0" shrinkToFit="0" readingOrder="0"/>
      <border diagonalUp="0" diagonalDown="0" outline="0">
        <left/>
        <right style="thin">
          <color indexed="64"/>
        </right>
        <top/>
        <bottom style="thin">
          <color indexed="64"/>
        </bottom>
      </border>
    </dxf>
    <dxf>
      <font>
        <b val="0"/>
        <i val="0"/>
        <strike val="0"/>
        <outline val="0"/>
        <shadow val="0"/>
        <vertAlign val="baseline"/>
        <color auto="1"/>
        <name val="Calibri"/>
      </font>
      <fill>
        <patternFill patternType="solid">
          <fgColor theme="0"/>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solid">
          <fgColor theme="0"/>
          <bgColor theme="0"/>
        </patternFill>
      </fill>
      <alignment horizontal="center" vertical="center" textRotation="0" wrapText="1" indent="0" justifyLastLine="0" shrinkToFit="0" readingOrder="0"/>
      <border diagonalUp="0" diagonalDown="0" outline="0">
        <left/>
        <right/>
        <top style="thin">
          <color indexed="64"/>
        </top>
        <bottom/>
      </border>
    </dxf>
    <dxf>
      <font>
        <b val="0"/>
        <i val="0"/>
        <strike val="0"/>
        <outline val="0"/>
        <shadow val="0"/>
        <vertAlign val="baseline"/>
        <color auto="1"/>
      </font>
      <fill>
        <patternFill patternType="solid">
          <fgColor theme="0"/>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outline val="0"/>
        <shadow val="0"/>
        <u/>
        <vertAlign val="baseline"/>
        <sz val="11"/>
        <color theme="4"/>
        <name val="Calibri"/>
      </font>
      <fill>
        <patternFill patternType="solid">
          <fgColor theme="0"/>
          <bgColor theme="0"/>
        </patternFill>
      </fill>
      <alignment horizontal="center" vertical="center" textRotation="0" wrapText="1" indent="0" justifyLastLine="0" shrinkToFit="0" readingOrder="0"/>
      <border diagonalUp="0" diagonalDown="0" outline="0">
        <left/>
        <right/>
        <top style="thin">
          <color indexed="64"/>
        </top>
        <bottom/>
      </border>
    </dxf>
    <dxf>
      <font>
        <b val="0"/>
        <i val="0"/>
        <outline val="0"/>
        <shadow val="0"/>
        <u val="none"/>
        <vertAlign val="baseline"/>
        <color auto="1"/>
        <name val="Calibri"/>
      </font>
      <fill>
        <patternFill patternType="solid">
          <fgColor theme="0"/>
          <bgColor theme="0"/>
        </patternFill>
      </fill>
      <alignment horizontal="center" vertical="center" textRotation="0" wrapText="1" indent="0" justifyLastLine="0" shrinkToFit="0" readingOrder="0"/>
      <border diagonalUp="0" diagonalDown="0" outline="0">
        <left/>
        <right/>
        <top style="thin">
          <color indexed="64"/>
        </top>
        <bottom/>
      </border>
    </dxf>
    <dxf>
      <font>
        <b val="0"/>
        <i val="0"/>
        <outline val="0"/>
        <shadow val="0"/>
        <u val="none"/>
        <vertAlign val="baseline"/>
        <color auto="1"/>
        <name val="Calibri"/>
      </font>
      <fill>
        <patternFill patternType="solid">
          <fgColor theme="0"/>
          <bgColor theme="0"/>
        </patternFill>
      </fill>
      <alignment horizontal="center" vertical="center" textRotation="0" wrapText="1" indent="0" justifyLastLine="0" shrinkToFit="0" readingOrder="0"/>
      <border diagonalUp="0" diagonalDown="0" outline="0">
        <left/>
        <right/>
        <top style="thin">
          <color indexed="64"/>
        </top>
        <bottom/>
      </border>
    </dxf>
    <dxf>
      <font>
        <b val="0"/>
        <i val="0"/>
        <outline val="0"/>
        <shadow val="0"/>
        <u val="none"/>
        <vertAlign val="baseline"/>
        <color auto="1"/>
        <name val="Calibri"/>
      </font>
      <fill>
        <patternFill patternType="solid">
          <fgColor theme="0"/>
          <bgColor theme="0"/>
        </patternFill>
      </fill>
      <alignment horizontal="center" vertical="center" textRotation="0" wrapText="1" indent="0" justifyLastLine="0" shrinkToFit="0" readingOrder="0"/>
      <border diagonalUp="0" diagonalDown="0" outline="0">
        <left/>
        <right/>
        <top style="thin">
          <color indexed="64"/>
        </top>
        <bottom/>
      </border>
    </dxf>
    <dxf>
      <font>
        <b val="0"/>
        <i val="0"/>
        <outline val="0"/>
        <shadow val="0"/>
        <u val="none"/>
        <vertAlign val="baseline"/>
        <color auto="1"/>
        <name val="Calibri"/>
      </font>
      <fill>
        <patternFill patternType="solid">
          <fgColor theme="0"/>
          <bgColor theme="0"/>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outline val="0"/>
        <shadow val="0"/>
        <u val="none"/>
        <vertAlign val="baseline"/>
        <color auto="1"/>
        <name val="Calibri"/>
      </font>
      <fill>
        <patternFill patternType="solid">
          <fgColor theme="0"/>
          <bgColor theme="0"/>
        </patternFill>
      </fill>
      <alignment horizontal="center" vertical="center" textRotation="0" wrapText="1" indent="0" justifyLastLine="0" shrinkToFit="0" readingOrder="0"/>
      <border diagonalUp="0" diagonalDown="0" outline="0">
        <left/>
        <right/>
        <top style="thin">
          <color indexed="64"/>
        </top>
        <bottom/>
      </border>
    </dxf>
    <dxf>
      <font>
        <b val="0"/>
        <i val="0"/>
        <outline val="0"/>
        <shadow val="0"/>
        <u val="none"/>
        <vertAlign val="baseline"/>
        <color auto="1"/>
        <name val="Calibri"/>
      </font>
      <fill>
        <patternFill patternType="solid">
          <fgColor theme="0"/>
          <bgColor theme="0"/>
        </patternFill>
      </fill>
      <alignment horizontal="center" vertical="center" textRotation="0" wrapText="1" indent="0" justifyLastLine="0" shrinkToFit="0" readingOrder="0"/>
      <border diagonalUp="0" diagonalDown="0" outline="0">
        <left/>
        <right/>
        <top style="thin">
          <color indexed="64"/>
        </top>
        <bottom/>
      </border>
    </dxf>
    <dxf>
      <font>
        <b val="0"/>
        <i val="0"/>
        <outline val="0"/>
        <shadow val="0"/>
        <u val="none"/>
        <vertAlign val="baseline"/>
        <color auto="1"/>
        <name val="Calibri"/>
      </font>
      <fill>
        <patternFill patternType="solid">
          <fgColor theme="0"/>
          <bgColor theme="0"/>
        </patternFill>
      </fill>
      <alignment horizontal="center" vertical="center" textRotation="0" wrapText="1" indent="0" justifyLastLine="0" shrinkToFit="0" readingOrder="0"/>
      <border diagonalUp="0" diagonalDown="0" outline="0">
        <left/>
        <right/>
        <top style="thin">
          <color indexed="64"/>
        </top>
        <bottom/>
      </border>
    </dxf>
    <dxf>
      <font>
        <b val="0"/>
      </font>
      <fill>
        <patternFill patternType="solid">
          <fgColor theme="0"/>
          <bgColor theme="0"/>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theme="0"/>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ECFF"/>
      <color rgb="FF77E3D6"/>
      <color rgb="FFE4D2F2"/>
      <color rgb="FFFFCCCC"/>
      <color rgb="FFFFFFD1"/>
      <color rgb="FFE3E7ED"/>
      <color rgb="FFA5CA3E"/>
      <color rgb="FFFDF0E9"/>
      <color rgb="FFF7B3E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Acc&#232;s via professionnels '!A1"/><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hyperlink" Target="#sommaire"/><Relationship Id="rId4" Type="http://schemas.openxmlformats.org/officeDocument/2006/relationships/hyperlink" Target="#'Acces direct'!A1"/></Relationships>
</file>

<file path=xl/drawings/_rels/drawing10.xml.rels><?xml version="1.0" encoding="UTF-8" standalone="yes"?>
<Relationships xmlns="http://schemas.openxmlformats.org/package/2006/relationships"><Relationship Id="rId8" Type="http://schemas.openxmlformats.org/officeDocument/2006/relationships/hyperlink" Target="#'Sa&#244;ne-et-Loire (71)'!A1"/><Relationship Id="rId3" Type="http://schemas.openxmlformats.org/officeDocument/2006/relationships/hyperlink" Target="#'Jura (39)'!A1"/><Relationship Id="rId7" Type="http://schemas.openxmlformats.org/officeDocument/2006/relationships/hyperlink" Target="#'Cotes d''Or (21)'!A1"/><Relationship Id="rId2" Type="http://schemas.openxmlformats.org/officeDocument/2006/relationships/hyperlink" Target="#'Secteur sanitaire'!A1"/><Relationship Id="rId1" Type="http://schemas.openxmlformats.org/officeDocument/2006/relationships/hyperlink" Target="#sommaire"/><Relationship Id="rId6" Type="http://schemas.openxmlformats.org/officeDocument/2006/relationships/hyperlink" Target="#'Haute-Sa&#244;ne (70)'!A1"/><Relationship Id="rId11" Type="http://schemas.openxmlformats.org/officeDocument/2006/relationships/hyperlink" Target="#'Nord-Franche-Comt&#233;'!A1"/><Relationship Id="rId5" Type="http://schemas.openxmlformats.org/officeDocument/2006/relationships/hyperlink" Target="#'Doubs (25)'!A1"/><Relationship Id="rId10" Type="http://schemas.openxmlformats.org/officeDocument/2006/relationships/hyperlink" Target="#'Territoire de Belfort (90)'!A1"/><Relationship Id="rId4" Type="http://schemas.openxmlformats.org/officeDocument/2006/relationships/hyperlink" Target="#'Nievre (58)'!A1"/><Relationship Id="rId9" Type="http://schemas.openxmlformats.org/officeDocument/2006/relationships/hyperlink" Target="#'Yonne (89)'!A1"/></Relationships>
</file>

<file path=xl/drawings/_rels/drawing11.xml.rels><?xml version="1.0" encoding="UTF-8" standalone="yes"?>
<Relationships xmlns="http://schemas.openxmlformats.org/package/2006/relationships"><Relationship Id="rId8" Type="http://schemas.openxmlformats.org/officeDocument/2006/relationships/hyperlink" Target="#'Yonne (89)'!A1"/><Relationship Id="rId3" Type="http://schemas.openxmlformats.org/officeDocument/2006/relationships/hyperlink" Target="#'Nievre (58)'!A1"/><Relationship Id="rId7" Type="http://schemas.openxmlformats.org/officeDocument/2006/relationships/hyperlink" Target="#'Sa&#244;ne-et-Loire (71)'!A1"/><Relationship Id="rId2" Type="http://schemas.openxmlformats.org/officeDocument/2006/relationships/hyperlink" Target="#'Jura (39)'!A1"/><Relationship Id="rId1" Type="http://schemas.openxmlformats.org/officeDocument/2006/relationships/hyperlink" Target="#sommaire"/><Relationship Id="rId6" Type="http://schemas.openxmlformats.org/officeDocument/2006/relationships/hyperlink" Target="#'Cotes d''Or (21)'!A1"/><Relationship Id="rId5" Type="http://schemas.openxmlformats.org/officeDocument/2006/relationships/hyperlink" Target="#'Haute-Sa&#244;ne (70)'!A1"/><Relationship Id="rId10" Type="http://schemas.openxmlformats.org/officeDocument/2006/relationships/hyperlink" Target="#'Nord-Franche-Comt&#233;'!A1"/><Relationship Id="rId4" Type="http://schemas.openxmlformats.org/officeDocument/2006/relationships/hyperlink" Target="#'Doubs (25)'!A1"/><Relationship Id="rId9" Type="http://schemas.openxmlformats.org/officeDocument/2006/relationships/hyperlink" Target="#'Territoire de Belfort (90)'!A1"/></Relationships>
</file>

<file path=xl/drawings/_rels/drawing12.xml.rels><?xml version="1.0" encoding="UTF-8" standalone="yes"?>
<Relationships xmlns="http://schemas.openxmlformats.org/package/2006/relationships"><Relationship Id="rId2" Type="http://schemas.openxmlformats.org/officeDocument/2006/relationships/hyperlink" Target="#'Acces direct'!A1"/><Relationship Id="rId1" Type="http://schemas.openxmlformats.org/officeDocument/2006/relationships/hyperlink" Target="#sommaire"/></Relationships>
</file>

<file path=xl/drawings/_rels/drawing2.xml.rels><?xml version="1.0" encoding="UTF-8" standalone="yes"?>
<Relationships xmlns="http://schemas.openxmlformats.org/package/2006/relationships"><Relationship Id="rId8" Type="http://schemas.openxmlformats.org/officeDocument/2006/relationships/hyperlink" Target="#'Sa&#244;ne-et-Loire (71)'!A1"/><Relationship Id="rId3" Type="http://schemas.openxmlformats.org/officeDocument/2006/relationships/hyperlink" Target="#'Jura (39)'!A1"/><Relationship Id="rId7" Type="http://schemas.openxmlformats.org/officeDocument/2006/relationships/hyperlink" Target="#'Cotes d''Or (21)'!A1"/><Relationship Id="rId2" Type="http://schemas.openxmlformats.org/officeDocument/2006/relationships/hyperlink" Target="#'Secteur sanitaire'!A1"/><Relationship Id="rId1" Type="http://schemas.openxmlformats.org/officeDocument/2006/relationships/hyperlink" Target="#sommaire"/><Relationship Id="rId6" Type="http://schemas.openxmlformats.org/officeDocument/2006/relationships/hyperlink" Target="#'Haute-Sa&#244;ne (70)'!A1"/><Relationship Id="rId11" Type="http://schemas.openxmlformats.org/officeDocument/2006/relationships/hyperlink" Target="#'Nord-Franche-Comt&#233;'!A1"/><Relationship Id="rId5" Type="http://schemas.openxmlformats.org/officeDocument/2006/relationships/hyperlink" Target="#'Doubs (25)'!A1"/><Relationship Id="rId10" Type="http://schemas.openxmlformats.org/officeDocument/2006/relationships/hyperlink" Target="#'Territoire de Belfort (90)'!A1"/><Relationship Id="rId4" Type="http://schemas.openxmlformats.org/officeDocument/2006/relationships/hyperlink" Target="#'Nievre (58)'!A1"/><Relationship Id="rId9" Type="http://schemas.openxmlformats.org/officeDocument/2006/relationships/hyperlink" Target="#'Yonne (89)'!A1"/></Relationships>
</file>

<file path=xl/drawings/_rels/drawing3.xml.rels><?xml version="1.0" encoding="UTF-8" standalone="yes"?>
<Relationships xmlns="http://schemas.openxmlformats.org/package/2006/relationships"><Relationship Id="rId8" Type="http://schemas.openxmlformats.org/officeDocument/2006/relationships/hyperlink" Target="#'Sa&#244;ne-et-Loire (71)'!A1"/><Relationship Id="rId3" Type="http://schemas.openxmlformats.org/officeDocument/2006/relationships/hyperlink" Target="#'Jura (39)'!A1"/><Relationship Id="rId7" Type="http://schemas.openxmlformats.org/officeDocument/2006/relationships/hyperlink" Target="#'Cotes d''Or (21)'!A1"/><Relationship Id="rId2" Type="http://schemas.openxmlformats.org/officeDocument/2006/relationships/hyperlink" Target="#'Secteur sanitaire'!A1"/><Relationship Id="rId1" Type="http://schemas.openxmlformats.org/officeDocument/2006/relationships/hyperlink" Target="#sommaire"/><Relationship Id="rId6" Type="http://schemas.openxmlformats.org/officeDocument/2006/relationships/hyperlink" Target="#'Haute-Sa&#244;ne (70)'!A1"/><Relationship Id="rId11" Type="http://schemas.openxmlformats.org/officeDocument/2006/relationships/hyperlink" Target="#'Nord-Franche-Comt&#233;'!A1"/><Relationship Id="rId5" Type="http://schemas.openxmlformats.org/officeDocument/2006/relationships/hyperlink" Target="#'Doubs (25)'!A1"/><Relationship Id="rId10" Type="http://schemas.openxmlformats.org/officeDocument/2006/relationships/hyperlink" Target="#'Territoire de Belfort (90)'!A1"/><Relationship Id="rId4" Type="http://schemas.openxmlformats.org/officeDocument/2006/relationships/hyperlink" Target="#'Nievre (58)'!A1"/><Relationship Id="rId9" Type="http://schemas.openxmlformats.org/officeDocument/2006/relationships/hyperlink" Target="#'Yonne (89)'!A1"/></Relationships>
</file>

<file path=xl/drawings/_rels/drawing4.xml.rels><?xml version="1.0" encoding="UTF-8" standalone="yes"?>
<Relationships xmlns="http://schemas.openxmlformats.org/package/2006/relationships"><Relationship Id="rId8" Type="http://schemas.openxmlformats.org/officeDocument/2006/relationships/hyperlink" Target="#'Sa&#244;ne-et-Loire (71)'!A1"/><Relationship Id="rId3" Type="http://schemas.openxmlformats.org/officeDocument/2006/relationships/hyperlink" Target="#'Jura (39)'!A1"/><Relationship Id="rId7" Type="http://schemas.openxmlformats.org/officeDocument/2006/relationships/hyperlink" Target="#'Cotes d''Or (21)'!A1"/><Relationship Id="rId2" Type="http://schemas.openxmlformats.org/officeDocument/2006/relationships/hyperlink" Target="#'Secteur sanitaire'!A1"/><Relationship Id="rId1" Type="http://schemas.openxmlformats.org/officeDocument/2006/relationships/hyperlink" Target="#sommaire"/><Relationship Id="rId6" Type="http://schemas.openxmlformats.org/officeDocument/2006/relationships/hyperlink" Target="#'Haute-Sa&#244;ne (70)'!A1"/><Relationship Id="rId11" Type="http://schemas.openxmlformats.org/officeDocument/2006/relationships/hyperlink" Target="#'Nord-Franche-Comt&#233;'!A1"/><Relationship Id="rId5" Type="http://schemas.openxmlformats.org/officeDocument/2006/relationships/hyperlink" Target="#'Doubs (25)'!A1"/><Relationship Id="rId10" Type="http://schemas.openxmlformats.org/officeDocument/2006/relationships/hyperlink" Target="#'Territoire de Belfort (90)'!A1"/><Relationship Id="rId4" Type="http://schemas.openxmlformats.org/officeDocument/2006/relationships/hyperlink" Target="#'Nievre (58)'!A1"/><Relationship Id="rId9" Type="http://schemas.openxmlformats.org/officeDocument/2006/relationships/hyperlink" Target="#'Yonne (89)'!A1"/></Relationships>
</file>

<file path=xl/drawings/_rels/drawing5.xml.rels><?xml version="1.0" encoding="UTF-8" standalone="yes"?>
<Relationships xmlns="http://schemas.openxmlformats.org/package/2006/relationships"><Relationship Id="rId8" Type="http://schemas.openxmlformats.org/officeDocument/2006/relationships/hyperlink" Target="#'Sa&#244;ne-et-Loire (71)'!A1"/><Relationship Id="rId3" Type="http://schemas.openxmlformats.org/officeDocument/2006/relationships/hyperlink" Target="#'Jura (39)'!A1"/><Relationship Id="rId7" Type="http://schemas.openxmlformats.org/officeDocument/2006/relationships/hyperlink" Target="#'Cotes d''Or (21)'!A1"/><Relationship Id="rId2" Type="http://schemas.openxmlformats.org/officeDocument/2006/relationships/hyperlink" Target="#'Secteur sanitaire'!A1"/><Relationship Id="rId1" Type="http://schemas.openxmlformats.org/officeDocument/2006/relationships/hyperlink" Target="#sommaire"/><Relationship Id="rId6" Type="http://schemas.openxmlformats.org/officeDocument/2006/relationships/hyperlink" Target="#'Haute-Sa&#244;ne (70)'!A1"/><Relationship Id="rId11" Type="http://schemas.openxmlformats.org/officeDocument/2006/relationships/hyperlink" Target="#'Nord-Franche-Comt&#233;'!A1"/><Relationship Id="rId5" Type="http://schemas.openxmlformats.org/officeDocument/2006/relationships/hyperlink" Target="#'Doubs (25)'!A1"/><Relationship Id="rId10" Type="http://schemas.openxmlformats.org/officeDocument/2006/relationships/hyperlink" Target="#'Territoire de Belfort (90)'!A1"/><Relationship Id="rId4" Type="http://schemas.openxmlformats.org/officeDocument/2006/relationships/hyperlink" Target="#'Nievre (58)'!A1"/><Relationship Id="rId9" Type="http://schemas.openxmlformats.org/officeDocument/2006/relationships/hyperlink" Target="#'Yonne (89)'!A1"/></Relationships>
</file>

<file path=xl/drawings/_rels/drawing6.xml.rels><?xml version="1.0" encoding="UTF-8" standalone="yes"?>
<Relationships xmlns="http://schemas.openxmlformats.org/package/2006/relationships"><Relationship Id="rId8" Type="http://schemas.openxmlformats.org/officeDocument/2006/relationships/hyperlink" Target="#'Sa&#244;ne-et-Loire (71)'!A1"/><Relationship Id="rId3" Type="http://schemas.openxmlformats.org/officeDocument/2006/relationships/hyperlink" Target="#'Jura (39)'!A1"/><Relationship Id="rId7" Type="http://schemas.openxmlformats.org/officeDocument/2006/relationships/hyperlink" Target="#'Cotes d''Or (21)'!A1"/><Relationship Id="rId2" Type="http://schemas.openxmlformats.org/officeDocument/2006/relationships/hyperlink" Target="#'Secteur sanitaire'!A1"/><Relationship Id="rId1" Type="http://schemas.openxmlformats.org/officeDocument/2006/relationships/hyperlink" Target="#sommaire"/><Relationship Id="rId6" Type="http://schemas.openxmlformats.org/officeDocument/2006/relationships/hyperlink" Target="#'Haute-Sa&#244;ne (70)'!A1"/><Relationship Id="rId11" Type="http://schemas.openxmlformats.org/officeDocument/2006/relationships/hyperlink" Target="#'Nord-Franche-Comt&#233;'!A1"/><Relationship Id="rId5" Type="http://schemas.openxmlformats.org/officeDocument/2006/relationships/hyperlink" Target="#'Doubs (25)'!A1"/><Relationship Id="rId10" Type="http://schemas.openxmlformats.org/officeDocument/2006/relationships/hyperlink" Target="#'Territoire de Belfort (90)'!A1"/><Relationship Id="rId4" Type="http://schemas.openxmlformats.org/officeDocument/2006/relationships/hyperlink" Target="#'Nievre (58)'!A1"/><Relationship Id="rId9" Type="http://schemas.openxmlformats.org/officeDocument/2006/relationships/hyperlink" Target="#'Yonne (89)'!A1"/></Relationships>
</file>

<file path=xl/drawings/_rels/drawing7.xml.rels><?xml version="1.0" encoding="UTF-8" standalone="yes"?>
<Relationships xmlns="http://schemas.openxmlformats.org/package/2006/relationships"><Relationship Id="rId8" Type="http://schemas.openxmlformats.org/officeDocument/2006/relationships/hyperlink" Target="#'Sa&#244;ne-et-Loire (71)'!A1"/><Relationship Id="rId3" Type="http://schemas.openxmlformats.org/officeDocument/2006/relationships/hyperlink" Target="#'Jura (39)'!A1"/><Relationship Id="rId7" Type="http://schemas.openxmlformats.org/officeDocument/2006/relationships/hyperlink" Target="#'Cotes d''Or (21)'!A1"/><Relationship Id="rId2" Type="http://schemas.openxmlformats.org/officeDocument/2006/relationships/hyperlink" Target="#'Secteur sanitaire'!A1"/><Relationship Id="rId1" Type="http://schemas.openxmlformats.org/officeDocument/2006/relationships/hyperlink" Target="#sommaire"/><Relationship Id="rId6" Type="http://schemas.openxmlformats.org/officeDocument/2006/relationships/hyperlink" Target="#'Haute-Sa&#244;ne (70)'!A1"/><Relationship Id="rId11" Type="http://schemas.openxmlformats.org/officeDocument/2006/relationships/hyperlink" Target="#'Nord-Franche-Comt&#233;'!A1"/><Relationship Id="rId5" Type="http://schemas.openxmlformats.org/officeDocument/2006/relationships/hyperlink" Target="#'Doubs (25)'!A1"/><Relationship Id="rId10" Type="http://schemas.openxmlformats.org/officeDocument/2006/relationships/hyperlink" Target="#'Territoire de Belfort (90)'!A1"/><Relationship Id="rId4" Type="http://schemas.openxmlformats.org/officeDocument/2006/relationships/hyperlink" Target="#'Nievre (58)'!A1"/><Relationship Id="rId9" Type="http://schemas.openxmlformats.org/officeDocument/2006/relationships/hyperlink" Target="#'Yonne (89)'!A1"/></Relationships>
</file>

<file path=xl/drawings/_rels/drawing8.xml.rels><?xml version="1.0" encoding="UTF-8" standalone="yes"?>
<Relationships xmlns="http://schemas.openxmlformats.org/package/2006/relationships"><Relationship Id="rId8" Type="http://schemas.openxmlformats.org/officeDocument/2006/relationships/hyperlink" Target="#'Sa&#244;ne-et-Loire (71)'!A1"/><Relationship Id="rId3" Type="http://schemas.openxmlformats.org/officeDocument/2006/relationships/hyperlink" Target="#'Jura (39)'!A1"/><Relationship Id="rId7" Type="http://schemas.openxmlformats.org/officeDocument/2006/relationships/hyperlink" Target="#'Cotes d''Or (21)'!A1"/><Relationship Id="rId2" Type="http://schemas.openxmlformats.org/officeDocument/2006/relationships/hyperlink" Target="#'Secteur sanitaire'!A1"/><Relationship Id="rId1" Type="http://schemas.openxmlformats.org/officeDocument/2006/relationships/hyperlink" Target="#sommaire"/><Relationship Id="rId6" Type="http://schemas.openxmlformats.org/officeDocument/2006/relationships/hyperlink" Target="#'Haute-Sa&#244;ne (70)'!A1"/><Relationship Id="rId11" Type="http://schemas.openxmlformats.org/officeDocument/2006/relationships/hyperlink" Target="#'Nord-Franche-Comt&#233;'!A1"/><Relationship Id="rId5" Type="http://schemas.openxmlformats.org/officeDocument/2006/relationships/hyperlink" Target="#'Doubs (25)'!A1"/><Relationship Id="rId10" Type="http://schemas.openxmlformats.org/officeDocument/2006/relationships/hyperlink" Target="#'Territoire de Belfort (90)'!A1"/><Relationship Id="rId4" Type="http://schemas.openxmlformats.org/officeDocument/2006/relationships/hyperlink" Target="#'Nievre (58)'!A1"/><Relationship Id="rId9" Type="http://schemas.openxmlformats.org/officeDocument/2006/relationships/hyperlink" Target="#'Yonne (89)'!A1"/></Relationships>
</file>

<file path=xl/drawings/_rels/drawing9.xml.rels><?xml version="1.0" encoding="UTF-8" standalone="yes"?>
<Relationships xmlns="http://schemas.openxmlformats.org/package/2006/relationships"><Relationship Id="rId8" Type="http://schemas.openxmlformats.org/officeDocument/2006/relationships/hyperlink" Target="#'Sa&#244;ne-et-Loire (71)'!A1"/><Relationship Id="rId3" Type="http://schemas.openxmlformats.org/officeDocument/2006/relationships/hyperlink" Target="#'Jura (39)'!A1"/><Relationship Id="rId7" Type="http://schemas.openxmlformats.org/officeDocument/2006/relationships/hyperlink" Target="#'Cotes d''Or (21)'!A1"/><Relationship Id="rId2" Type="http://schemas.openxmlformats.org/officeDocument/2006/relationships/hyperlink" Target="#'Secteur sanitaire'!A1"/><Relationship Id="rId1" Type="http://schemas.openxmlformats.org/officeDocument/2006/relationships/hyperlink" Target="#sommaire"/><Relationship Id="rId6" Type="http://schemas.openxmlformats.org/officeDocument/2006/relationships/hyperlink" Target="#'Haute-Sa&#244;ne (70)'!A1"/><Relationship Id="rId11" Type="http://schemas.openxmlformats.org/officeDocument/2006/relationships/hyperlink" Target="#'Nord-Franche-Comt&#233;'!A1"/><Relationship Id="rId5" Type="http://schemas.openxmlformats.org/officeDocument/2006/relationships/hyperlink" Target="#'Doubs (25)'!A1"/><Relationship Id="rId10" Type="http://schemas.openxmlformats.org/officeDocument/2006/relationships/hyperlink" Target="#'Territoire de Belfort (90)'!A1"/><Relationship Id="rId4" Type="http://schemas.openxmlformats.org/officeDocument/2006/relationships/hyperlink" Target="#'Nievre (58)'!A1"/><Relationship Id="rId9" Type="http://schemas.openxmlformats.org/officeDocument/2006/relationships/hyperlink" Target="#'Yonne (89)'!A1"/></Relationships>
</file>

<file path=xl/drawings/drawing1.xml><?xml version="1.0" encoding="utf-8"?>
<xdr:wsDr xmlns:xdr="http://schemas.openxmlformats.org/drawingml/2006/spreadsheetDrawing" xmlns:a="http://schemas.openxmlformats.org/drawingml/2006/main">
  <xdr:twoCellAnchor editAs="oneCell">
    <xdr:from>
      <xdr:col>2</xdr:col>
      <xdr:colOff>106403</xdr:colOff>
      <xdr:row>3</xdr:row>
      <xdr:rowOff>32143</xdr:rowOff>
    </xdr:from>
    <xdr:to>
      <xdr:col>3</xdr:col>
      <xdr:colOff>702199</xdr:colOff>
      <xdr:row>4</xdr:row>
      <xdr:rowOff>172397</xdr:rowOff>
    </xdr:to>
    <xdr:pic>
      <xdr:nvPicPr>
        <xdr:cNvPr id="2" name="Image 1" descr="Agence régionale de santé Bourgogne-Franche-Comté">
          <a:extLst>
            <a:ext uri="{FF2B5EF4-FFF2-40B4-BE49-F238E27FC236}">
              <a16:creationId xmlns:a16="http://schemas.microsoft.com/office/drawing/2014/main" id="{F7DC74BB-D9A1-465A-9716-2C61DE492A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979" y="873391"/>
          <a:ext cx="1378805" cy="811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54311</xdr:colOff>
      <xdr:row>3</xdr:row>
      <xdr:rowOff>22166</xdr:rowOff>
    </xdr:from>
    <xdr:to>
      <xdr:col>19</xdr:col>
      <xdr:colOff>11308</xdr:colOff>
      <xdr:row>4</xdr:row>
      <xdr:rowOff>153474</xdr:rowOff>
    </xdr:to>
    <xdr:pic>
      <xdr:nvPicPr>
        <xdr:cNvPr id="3" name="Picture 2">
          <a:extLst>
            <a:ext uri="{FF2B5EF4-FFF2-40B4-BE49-F238E27FC236}">
              <a16:creationId xmlns:a16="http://schemas.microsoft.com/office/drawing/2014/main" id="{C1A4321A-CA90-4935-AFD1-5A60DB2009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19207" y="863414"/>
          <a:ext cx="1478557" cy="69494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6</xdr:col>
      <xdr:colOff>562318</xdr:colOff>
      <xdr:row>20</xdr:row>
      <xdr:rowOff>36094</xdr:rowOff>
    </xdr:from>
    <xdr:to>
      <xdr:col>9</xdr:col>
      <xdr:colOff>574510</xdr:colOff>
      <xdr:row>24</xdr:row>
      <xdr:rowOff>3992</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29303CA1-DCAA-45DF-9926-DCCE28EC5982}"/>
            </a:ext>
          </a:extLst>
        </xdr:cNvPr>
        <xdr:cNvSpPr/>
      </xdr:nvSpPr>
      <xdr:spPr>
        <a:xfrm>
          <a:off x="5101661" y="4423037"/>
          <a:ext cx="2281863" cy="708126"/>
        </a:xfrm>
        <a:prstGeom prst="rect">
          <a:avLst/>
        </a:prstGeom>
        <a:solidFill>
          <a:schemeClr val="accent6">
            <a:lumMod val="75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Structures accessibles</a:t>
          </a:r>
          <a:r>
            <a:rPr lang="fr-FR" sz="1200" b="1" baseline="0"/>
            <a:t> sur orientation d'un professionnel de santé</a:t>
          </a:r>
          <a:endParaRPr lang="fr-FR" sz="1200" b="1"/>
        </a:p>
      </xdr:txBody>
    </xdr:sp>
    <xdr:clientData/>
  </xdr:twoCellAnchor>
  <xdr:twoCellAnchor>
    <xdr:from>
      <xdr:col>11</xdr:col>
      <xdr:colOff>431847</xdr:colOff>
      <xdr:row>20</xdr:row>
      <xdr:rowOff>14324</xdr:rowOff>
    </xdr:from>
    <xdr:to>
      <xdr:col>14</xdr:col>
      <xdr:colOff>441071</xdr:colOff>
      <xdr:row>23</xdr:row>
      <xdr:rowOff>172820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992FDABF-C6C8-4EF6-970D-6D35C5D0D00D}"/>
            </a:ext>
          </a:extLst>
        </xdr:cNvPr>
        <xdr:cNvSpPr/>
      </xdr:nvSpPr>
      <xdr:spPr>
        <a:xfrm>
          <a:off x="8753976" y="4401267"/>
          <a:ext cx="2278895" cy="713667"/>
        </a:xfrm>
        <a:prstGeom prst="rect">
          <a:avLst/>
        </a:prstGeom>
        <a:solidFill>
          <a:schemeClr val="accent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Structures</a:t>
          </a:r>
          <a:r>
            <a:rPr lang="fr-FR" sz="1200" b="1" baseline="0"/>
            <a:t> accessibles </a:t>
          </a:r>
        </a:p>
        <a:p>
          <a:pPr algn="ctr"/>
          <a:r>
            <a:rPr lang="fr-FR" sz="1200" b="1" baseline="0"/>
            <a:t>sur accès direct</a:t>
          </a:r>
          <a:endParaRPr lang="fr-FR" sz="1200" b="1"/>
        </a:p>
      </xdr:txBody>
    </xdr:sp>
    <xdr:clientData/>
  </xdr:twoCellAnchor>
  <xdr:twoCellAnchor>
    <xdr:from>
      <xdr:col>8</xdr:col>
      <xdr:colOff>621793</xdr:colOff>
      <xdr:row>196</xdr:row>
      <xdr:rowOff>24384</xdr:rowOff>
    </xdr:from>
    <xdr:to>
      <xdr:col>12</xdr:col>
      <xdr:colOff>165463</xdr:colOff>
      <xdr:row>200</xdr:row>
      <xdr:rowOff>0</xdr:rowOff>
    </xdr:to>
    <xdr:sp macro="" textlink="">
      <xdr:nvSpPr>
        <xdr:cNvPr id="13" name="Rectangle 12">
          <a:hlinkClick xmlns:r="http://schemas.openxmlformats.org/officeDocument/2006/relationships" r:id="rId4"/>
          <a:extLst>
            <a:ext uri="{FF2B5EF4-FFF2-40B4-BE49-F238E27FC236}">
              <a16:creationId xmlns:a16="http://schemas.microsoft.com/office/drawing/2014/main" id="{CA0C1386-A989-4489-B5F3-A23138EF5246}"/>
            </a:ext>
          </a:extLst>
        </xdr:cNvPr>
        <xdr:cNvSpPr/>
      </xdr:nvSpPr>
      <xdr:spPr>
        <a:xfrm>
          <a:off x="6891964" y="36757138"/>
          <a:ext cx="2678756" cy="707136"/>
        </a:xfrm>
        <a:prstGeom prst="rect">
          <a:avLst/>
        </a:prstGeom>
        <a:solidFill>
          <a:schemeClr val="accent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t>Toutes les structures accessibles sur accès direct</a:t>
          </a:r>
        </a:p>
      </xdr:txBody>
    </xdr:sp>
    <xdr:clientData/>
  </xdr:twoCellAnchor>
  <xdr:twoCellAnchor>
    <xdr:from>
      <xdr:col>13</xdr:col>
      <xdr:colOff>475488</xdr:colOff>
      <xdr:row>190</xdr:row>
      <xdr:rowOff>36576</xdr:rowOff>
    </xdr:from>
    <xdr:to>
      <xdr:col>16</xdr:col>
      <xdr:colOff>316992</xdr:colOff>
      <xdr:row>191</xdr:row>
      <xdr:rowOff>158496</xdr:rowOff>
    </xdr:to>
    <xdr:sp macro="" textlink="">
      <xdr:nvSpPr>
        <xdr:cNvPr id="18" name="Rectangle 17">
          <a:hlinkClick xmlns:r="http://schemas.openxmlformats.org/officeDocument/2006/relationships" r:id="rId5"/>
          <a:extLst>
            <a:ext uri="{FF2B5EF4-FFF2-40B4-BE49-F238E27FC236}">
              <a16:creationId xmlns:a16="http://schemas.microsoft.com/office/drawing/2014/main" id="{1C2F0594-CAFA-404F-B711-CD6670CF929B}"/>
            </a:ext>
          </a:extLst>
        </xdr:cNvPr>
        <xdr:cNvSpPr/>
      </xdr:nvSpPr>
      <xdr:spPr>
        <a:xfrm>
          <a:off x="10619232" y="20031456"/>
          <a:ext cx="2182368" cy="30480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t>Retour au sommaire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90055</xdr:colOff>
      <xdr:row>0</xdr:row>
      <xdr:rowOff>126076</xdr:rowOff>
    </xdr:from>
    <xdr:to>
      <xdr:col>0</xdr:col>
      <xdr:colOff>907635</xdr:colOff>
      <xdr:row>0</xdr:row>
      <xdr:rowOff>636295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E25D5CB-1B26-4024-986D-55DE22A74DD7}"/>
            </a:ext>
          </a:extLst>
        </xdr:cNvPr>
        <xdr:cNvSpPr/>
      </xdr:nvSpPr>
      <xdr:spPr>
        <a:xfrm>
          <a:off x="90055" y="126076"/>
          <a:ext cx="817580" cy="51021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t>Retour au sommaire </a:t>
          </a:r>
        </a:p>
      </xdr:txBody>
    </xdr:sp>
    <xdr:clientData/>
  </xdr:twoCellAnchor>
  <xdr:twoCellAnchor>
    <xdr:from>
      <xdr:col>13</xdr:col>
      <xdr:colOff>2011680</xdr:colOff>
      <xdr:row>0</xdr:row>
      <xdr:rowOff>0</xdr:rowOff>
    </xdr:from>
    <xdr:to>
      <xdr:col>14</xdr:col>
      <xdr:colOff>188422</xdr:colOff>
      <xdr:row>0</xdr:row>
      <xdr:rowOff>709353</xdr:rowOff>
    </xdr:to>
    <xdr:sp macro="" textlink="">
      <xdr:nvSpPr>
        <xdr:cNvPr id="3" name="Flèche : pentagone 2">
          <a:extLst>
            <a:ext uri="{FF2B5EF4-FFF2-40B4-BE49-F238E27FC236}">
              <a16:creationId xmlns:a16="http://schemas.microsoft.com/office/drawing/2014/main" id="{8A9D4D9E-4FCF-45DA-86DA-AA675286FD20}"/>
            </a:ext>
          </a:extLst>
        </xdr:cNvPr>
        <xdr:cNvSpPr/>
      </xdr:nvSpPr>
      <xdr:spPr>
        <a:xfrm>
          <a:off x="19537680" y="0"/>
          <a:ext cx="198582" cy="709353"/>
        </a:xfrm>
        <a:prstGeom prst="homePlate">
          <a:avLst/>
        </a:prstGeom>
        <a:solidFill>
          <a:srgbClr val="DCC5ED"/>
        </a:solidFill>
        <a:ln>
          <a:solidFill>
            <a:srgbClr val="DCC5E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20320</xdr:colOff>
      <xdr:row>0</xdr:row>
      <xdr:rowOff>101600</xdr:rowOff>
    </xdr:from>
    <xdr:to>
      <xdr:col>3</xdr:col>
      <xdr:colOff>441440</xdr:colOff>
      <xdr:row>0</xdr:row>
      <xdr:rowOff>618602</xdr:rowOff>
    </xdr:to>
    <xdr:sp macro="" textlink="">
      <xdr:nvSpPr>
        <xdr:cNvPr id="13" name="Flèche : pentagone 12">
          <a:hlinkClick xmlns:r="http://schemas.openxmlformats.org/officeDocument/2006/relationships" r:id="rId2"/>
          <a:extLst>
            <a:ext uri="{FF2B5EF4-FFF2-40B4-BE49-F238E27FC236}">
              <a16:creationId xmlns:a16="http://schemas.microsoft.com/office/drawing/2014/main" id="{4F55B8C9-373F-471D-B8BB-8CD27E03B629}"/>
            </a:ext>
          </a:extLst>
        </xdr:cNvPr>
        <xdr:cNvSpPr/>
      </xdr:nvSpPr>
      <xdr:spPr>
        <a:xfrm>
          <a:off x="1605280" y="101600"/>
          <a:ext cx="1620000" cy="517002"/>
        </a:xfrm>
        <a:prstGeom prst="homePlate">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chemeClr val="tx1"/>
              </a:solidFill>
            </a:rPr>
            <a:t>Toutes les structures de</a:t>
          </a:r>
          <a:r>
            <a:rPr lang="fr-FR" sz="1100" b="0" baseline="0">
              <a:solidFill>
                <a:schemeClr val="tx1"/>
              </a:solidFill>
            </a:rPr>
            <a:t> la région</a:t>
          </a:r>
          <a:endParaRPr lang="fr-FR" sz="1100" b="0">
            <a:solidFill>
              <a:schemeClr val="tx1"/>
            </a:solidFill>
          </a:endParaRPr>
        </a:p>
      </xdr:txBody>
    </xdr:sp>
    <xdr:clientData/>
  </xdr:twoCellAnchor>
  <xdr:twoCellAnchor>
    <xdr:from>
      <xdr:col>4</xdr:col>
      <xdr:colOff>663827</xdr:colOff>
      <xdr:row>0</xdr:row>
      <xdr:rowOff>101600</xdr:rowOff>
    </xdr:from>
    <xdr:to>
      <xdr:col>5</xdr:col>
      <xdr:colOff>515987</xdr:colOff>
      <xdr:row>0</xdr:row>
      <xdr:rowOff>618603</xdr:rowOff>
    </xdr:to>
    <xdr:sp macro="" textlink="">
      <xdr:nvSpPr>
        <xdr:cNvPr id="14" name="Flèche : chevron 13">
          <a:hlinkClick xmlns:r="http://schemas.openxmlformats.org/officeDocument/2006/relationships" r:id="rId3"/>
          <a:extLst>
            <a:ext uri="{FF2B5EF4-FFF2-40B4-BE49-F238E27FC236}">
              <a16:creationId xmlns:a16="http://schemas.microsoft.com/office/drawing/2014/main" id="{FEAB477B-E450-4E7E-90C4-EA476745934F}"/>
            </a:ext>
          </a:extLst>
        </xdr:cNvPr>
        <xdr:cNvSpPr/>
      </xdr:nvSpPr>
      <xdr:spPr>
        <a:xfrm>
          <a:off x="6079107" y="10160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Jura (39)</a:t>
          </a:r>
        </a:p>
      </xdr:txBody>
    </xdr:sp>
    <xdr:clientData/>
  </xdr:twoCellAnchor>
  <xdr:twoCellAnchor>
    <xdr:from>
      <xdr:col>5</xdr:col>
      <xdr:colOff>449295</xdr:colOff>
      <xdr:row>0</xdr:row>
      <xdr:rowOff>101600</xdr:rowOff>
    </xdr:from>
    <xdr:to>
      <xdr:col>6</xdr:col>
      <xdr:colOff>514815</xdr:colOff>
      <xdr:row>0</xdr:row>
      <xdr:rowOff>618603</xdr:rowOff>
    </xdr:to>
    <xdr:sp macro="" textlink="">
      <xdr:nvSpPr>
        <xdr:cNvPr id="15" name="Flèche : chevron 14">
          <a:hlinkClick xmlns:r="http://schemas.openxmlformats.org/officeDocument/2006/relationships" r:id="rId4"/>
          <a:extLst>
            <a:ext uri="{FF2B5EF4-FFF2-40B4-BE49-F238E27FC236}">
              <a16:creationId xmlns:a16="http://schemas.microsoft.com/office/drawing/2014/main" id="{C7CB8534-8AF3-4821-ABCF-EDE076F1F44F}"/>
            </a:ext>
          </a:extLst>
        </xdr:cNvPr>
        <xdr:cNvSpPr/>
      </xdr:nvSpPr>
      <xdr:spPr>
        <a:xfrm>
          <a:off x="7632415" y="10160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Nièvre (58)</a:t>
          </a:r>
          <a:r>
            <a:rPr lang="fr-FR" sz="900">
              <a:solidFill>
                <a:schemeClr val="tx1"/>
              </a:solidFill>
            </a:rPr>
            <a:t> </a:t>
          </a:r>
        </a:p>
      </xdr:txBody>
    </xdr:sp>
    <xdr:clientData/>
  </xdr:twoCellAnchor>
  <xdr:twoCellAnchor>
    <xdr:from>
      <xdr:col>3</xdr:col>
      <xdr:colOff>1830246</xdr:colOff>
      <xdr:row>0</xdr:row>
      <xdr:rowOff>101600</xdr:rowOff>
    </xdr:from>
    <xdr:to>
      <xdr:col>4</xdr:col>
      <xdr:colOff>818806</xdr:colOff>
      <xdr:row>0</xdr:row>
      <xdr:rowOff>618603</xdr:rowOff>
    </xdr:to>
    <xdr:sp macro="" textlink="">
      <xdr:nvSpPr>
        <xdr:cNvPr id="16" name="Flèche : chevron 15">
          <a:hlinkClick xmlns:r="http://schemas.openxmlformats.org/officeDocument/2006/relationships" r:id="rId5"/>
          <a:extLst>
            <a:ext uri="{FF2B5EF4-FFF2-40B4-BE49-F238E27FC236}">
              <a16:creationId xmlns:a16="http://schemas.microsoft.com/office/drawing/2014/main" id="{9212A05F-B4E1-4936-9207-293266ACEBD5}"/>
            </a:ext>
          </a:extLst>
        </xdr:cNvPr>
        <xdr:cNvSpPr/>
      </xdr:nvSpPr>
      <xdr:spPr>
        <a:xfrm>
          <a:off x="4614086" y="10160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effectLst/>
              <a:latin typeface="+mn-lt"/>
              <a:ea typeface="+mn-ea"/>
              <a:cs typeface="+mn-cs"/>
            </a:rPr>
            <a:t>Doubs (25)</a:t>
          </a:r>
          <a:endParaRPr lang="fr-FR" sz="900">
            <a:solidFill>
              <a:schemeClr val="tx1"/>
            </a:solidFill>
            <a:effectLst/>
          </a:endParaRPr>
        </a:p>
      </xdr:txBody>
    </xdr:sp>
    <xdr:clientData/>
  </xdr:twoCellAnchor>
  <xdr:twoCellAnchor>
    <xdr:from>
      <xdr:col>6</xdr:col>
      <xdr:colOff>378975</xdr:colOff>
      <xdr:row>0</xdr:row>
      <xdr:rowOff>101600</xdr:rowOff>
    </xdr:from>
    <xdr:to>
      <xdr:col>7</xdr:col>
      <xdr:colOff>546095</xdr:colOff>
      <xdr:row>0</xdr:row>
      <xdr:rowOff>618603</xdr:rowOff>
    </xdr:to>
    <xdr:sp macro="" textlink="">
      <xdr:nvSpPr>
        <xdr:cNvPr id="17" name="Flèche : chevron 16">
          <a:hlinkClick xmlns:r="http://schemas.openxmlformats.org/officeDocument/2006/relationships" r:id="rId6"/>
          <a:extLst>
            <a:ext uri="{FF2B5EF4-FFF2-40B4-BE49-F238E27FC236}">
              <a16:creationId xmlns:a16="http://schemas.microsoft.com/office/drawing/2014/main" id="{BAA40708-8F05-43EA-A762-2C906D5549B3}"/>
            </a:ext>
          </a:extLst>
        </xdr:cNvPr>
        <xdr:cNvSpPr/>
      </xdr:nvSpPr>
      <xdr:spPr>
        <a:xfrm>
          <a:off x="9116575" y="10160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Haute-Saône (70)</a:t>
          </a:r>
        </a:p>
      </xdr:txBody>
    </xdr:sp>
    <xdr:clientData/>
  </xdr:twoCellAnchor>
  <xdr:twoCellAnchor>
    <xdr:from>
      <xdr:col>3</xdr:col>
      <xdr:colOff>291959</xdr:colOff>
      <xdr:row>0</xdr:row>
      <xdr:rowOff>101600</xdr:rowOff>
    </xdr:from>
    <xdr:to>
      <xdr:col>3</xdr:col>
      <xdr:colOff>1911959</xdr:colOff>
      <xdr:row>0</xdr:row>
      <xdr:rowOff>618603</xdr:rowOff>
    </xdr:to>
    <xdr:sp macro="" textlink="">
      <xdr:nvSpPr>
        <xdr:cNvPr id="18" name="Flèche : chevron 17">
          <a:hlinkClick xmlns:r="http://schemas.openxmlformats.org/officeDocument/2006/relationships" r:id="rId7"/>
          <a:extLst>
            <a:ext uri="{FF2B5EF4-FFF2-40B4-BE49-F238E27FC236}">
              <a16:creationId xmlns:a16="http://schemas.microsoft.com/office/drawing/2014/main" id="{208F28A1-D02C-40BC-98D6-F4CDB9F579B1}"/>
            </a:ext>
          </a:extLst>
        </xdr:cNvPr>
        <xdr:cNvSpPr/>
      </xdr:nvSpPr>
      <xdr:spPr>
        <a:xfrm>
          <a:off x="3075799" y="10160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0">
              <a:solidFill>
                <a:schemeClr val="tx1"/>
              </a:solidFill>
            </a:rPr>
            <a:t>Côte-d'Or (21)</a:t>
          </a:r>
        </a:p>
      </xdr:txBody>
    </xdr:sp>
    <xdr:clientData/>
  </xdr:twoCellAnchor>
  <xdr:twoCellAnchor>
    <xdr:from>
      <xdr:col>7</xdr:col>
      <xdr:colOff>416381</xdr:colOff>
      <xdr:row>0</xdr:row>
      <xdr:rowOff>101600</xdr:rowOff>
    </xdr:from>
    <xdr:to>
      <xdr:col>8</xdr:col>
      <xdr:colOff>644461</xdr:colOff>
      <xdr:row>0</xdr:row>
      <xdr:rowOff>618603</xdr:rowOff>
    </xdr:to>
    <xdr:sp macro="" textlink="">
      <xdr:nvSpPr>
        <xdr:cNvPr id="19" name="Flèche : chevron 18">
          <a:hlinkClick xmlns:r="http://schemas.openxmlformats.org/officeDocument/2006/relationships" r:id="rId8"/>
          <a:extLst>
            <a:ext uri="{FF2B5EF4-FFF2-40B4-BE49-F238E27FC236}">
              <a16:creationId xmlns:a16="http://schemas.microsoft.com/office/drawing/2014/main" id="{FEE96796-71ED-4FE7-930D-72C2D3650D64}"/>
            </a:ext>
          </a:extLst>
        </xdr:cNvPr>
        <xdr:cNvSpPr/>
      </xdr:nvSpPr>
      <xdr:spPr>
        <a:xfrm>
          <a:off x="10606861" y="10160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Saône-et-Loire (71)</a:t>
          </a:r>
        </a:p>
      </xdr:txBody>
    </xdr:sp>
    <xdr:clientData/>
  </xdr:twoCellAnchor>
  <xdr:twoCellAnchor>
    <xdr:from>
      <xdr:col>8</xdr:col>
      <xdr:colOff>500138</xdr:colOff>
      <xdr:row>0</xdr:row>
      <xdr:rowOff>101600</xdr:rowOff>
    </xdr:from>
    <xdr:to>
      <xdr:col>8</xdr:col>
      <xdr:colOff>2120138</xdr:colOff>
      <xdr:row>0</xdr:row>
      <xdr:rowOff>618603</xdr:rowOff>
    </xdr:to>
    <xdr:sp macro="" textlink="">
      <xdr:nvSpPr>
        <xdr:cNvPr id="20" name="Flèche : chevron 19">
          <a:hlinkClick xmlns:r="http://schemas.openxmlformats.org/officeDocument/2006/relationships" r:id="rId9"/>
          <a:extLst>
            <a:ext uri="{FF2B5EF4-FFF2-40B4-BE49-F238E27FC236}">
              <a16:creationId xmlns:a16="http://schemas.microsoft.com/office/drawing/2014/main" id="{47C2371B-AF96-4022-9A7A-F8128517F82A}"/>
            </a:ext>
          </a:extLst>
        </xdr:cNvPr>
        <xdr:cNvSpPr/>
      </xdr:nvSpPr>
      <xdr:spPr>
        <a:xfrm>
          <a:off x="12082538" y="10160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Yonne (89)</a:t>
          </a:r>
        </a:p>
      </xdr:txBody>
    </xdr:sp>
    <xdr:clientData/>
  </xdr:twoCellAnchor>
  <xdr:twoCellAnchor>
    <xdr:from>
      <xdr:col>8</xdr:col>
      <xdr:colOff>1981137</xdr:colOff>
      <xdr:row>0</xdr:row>
      <xdr:rowOff>101600</xdr:rowOff>
    </xdr:from>
    <xdr:to>
      <xdr:col>9</xdr:col>
      <xdr:colOff>1172897</xdr:colOff>
      <xdr:row>0</xdr:row>
      <xdr:rowOff>618603</xdr:rowOff>
    </xdr:to>
    <xdr:sp macro="" textlink="">
      <xdr:nvSpPr>
        <xdr:cNvPr id="21" name="Flèche : chevron 20">
          <a:hlinkClick xmlns:r="http://schemas.openxmlformats.org/officeDocument/2006/relationships" r:id="rId10"/>
          <a:extLst>
            <a:ext uri="{FF2B5EF4-FFF2-40B4-BE49-F238E27FC236}">
              <a16:creationId xmlns:a16="http://schemas.microsoft.com/office/drawing/2014/main" id="{72E0FC02-BAA7-44FA-AA75-FDEDDA4613AF}"/>
            </a:ext>
          </a:extLst>
        </xdr:cNvPr>
        <xdr:cNvSpPr/>
      </xdr:nvSpPr>
      <xdr:spPr>
        <a:xfrm>
          <a:off x="13563537" y="101600"/>
          <a:ext cx="1620000" cy="517003"/>
        </a:xfrm>
        <a:prstGeom prst="chevron">
          <a:avLst/>
        </a:prstGeom>
        <a:solidFill>
          <a:srgbClr val="B887D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Territoire</a:t>
          </a:r>
          <a:r>
            <a:rPr lang="fr-FR" sz="900" b="1" baseline="0">
              <a:solidFill>
                <a:schemeClr val="tx1"/>
              </a:solidFill>
            </a:rPr>
            <a:t> de Belfort (90)</a:t>
          </a:r>
          <a:endParaRPr lang="fr-FR" sz="900" b="1">
            <a:solidFill>
              <a:schemeClr val="tx1"/>
            </a:solidFill>
          </a:endParaRPr>
        </a:p>
      </xdr:txBody>
    </xdr:sp>
    <xdr:clientData/>
  </xdr:twoCellAnchor>
  <xdr:twoCellAnchor>
    <xdr:from>
      <xdr:col>9</xdr:col>
      <xdr:colOff>1039767</xdr:colOff>
      <xdr:row>0</xdr:row>
      <xdr:rowOff>101600</xdr:rowOff>
    </xdr:from>
    <xdr:to>
      <xdr:col>10</xdr:col>
      <xdr:colOff>1176407</xdr:colOff>
      <xdr:row>0</xdr:row>
      <xdr:rowOff>618603</xdr:rowOff>
    </xdr:to>
    <xdr:sp macro="" textlink="">
      <xdr:nvSpPr>
        <xdr:cNvPr id="22" name="Flèche : chevron 21">
          <a:hlinkClick xmlns:r="http://schemas.openxmlformats.org/officeDocument/2006/relationships" r:id="rId11"/>
          <a:extLst>
            <a:ext uri="{FF2B5EF4-FFF2-40B4-BE49-F238E27FC236}">
              <a16:creationId xmlns:a16="http://schemas.microsoft.com/office/drawing/2014/main" id="{82FB6C20-59CA-419C-BFAC-74AB5836B304}"/>
            </a:ext>
          </a:extLst>
        </xdr:cNvPr>
        <xdr:cNvSpPr/>
      </xdr:nvSpPr>
      <xdr:spPr>
        <a:xfrm>
          <a:off x="15050407" y="10160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Intervention</a:t>
          </a:r>
          <a:r>
            <a:rPr lang="fr-FR" sz="900" b="1" baseline="0">
              <a:solidFill>
                <a:schemeClr val="tx1"/>
              </a:solidFill>
            </a:rPr>
            <a:t> en Nord-Franche-Comté</a:t>
          </a:r>
          <a:endParaRPr lang="fr-FR" sz="900" b="1">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90055</xdr:colOff>
      <xdr:row>0</xdr:row>
      <xdr:rowOff>126076</xdr:rowOff>
    </xdr:from>
    <xdr:to>
      <xdr:col>0</xdr:col>
      <xdr:colOff>907635</xdr:colOff>
      <xdr:row>0</xdr:row>
      <xdr:rowOff>636295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DB70FA4-0C9B-4B88-8E87-1A2D514FFB25}"/>
            </a:ext>
          </a:extLst>
        </xdr:cNvPr>
        <xdr:cNvSpPr/>
      </xdr:nvSpPr>
      <xdr:spPr>
        <a:xfrm>
          <a:off x="90055" y="126076"/>
          <a:ext cx="817580" cy="51021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t>Retour au sommaire </a:t>
          </a:r>
        </a:p>
      </xdr:txBody>
    </xdr:sp>
    <xdr:clientData/>
  </xdr:twoCellAnchor>
  <xdr:twoCellAnchor>
    <xdr:from>
      <xdr:col>12</xdr:col>
      <xdr:colOff>2011680</xdr:colOff>
      <xdr:row>0</xdr:row>
      <xdr:rowOff>0</xdr:rowOff>
    </xdr:from>
    <xdr:to>
      <xdr:col>13</xdr:col>
      <xdr:colOff>188422</xdr:colOff>
      <xdr:row>0</xdr:row>
      <xdr:rowOff>709353</xdr:rowOff>
    </xdr:to>
    <xdr:sp macro="" textlink="">
      <xdr:nvSpPr>
        <xdr:cNvPr id="3" name="Flèche : pentagone 2">
          <a:extLst>
            <a:ext uri="{FF2B5EF4-FFF2-40B4-BE49-F238E27FC236}">
              <a16:creationId xmlns:a16="http://schemas.microsoft.com/office/drawing/2014/main" id="{AEEE0D21-8A3B-4D2F-BF42-035DFC59B9E9}"/>
            </a:ext>
          </a:extLst>
        </xdr:cNvPr>
        <xdr:cNvSpPr/>
      </xdr:nvSpPr>
      <xdr:spPr>
        <a:xfrm>
          <a:off x="22518624" y="0"/>
          <a:ext cx="194518" cy="709353"/>
        </a:xfrm>
        <a:prstGeom prst="homePlate">
          <a:avLst/>
        </a:prstGeom>
        <a:solidFill>
          <a:srgbClr val="DCC5ED"/>
        </a:solidFill>
        <a:ln>
          <a:solidFill>
            <a:srgbClr val="DCC5E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406133</xdr:colOff>
      <xdr:row>0</xdr:row>
      <xdr:rowOff>77585</xdr:rowOff>
    </xdr:from>
    <xdr:to>
      <xdr:col>4</xdr:col>
      <xdr:colOff>696096</xdr:colOff>
      <xdr:row>0</xdr:row>
      <xdr:rowOff>594588</xdr:rowOff>
    </xdr:to>
    <xdr:sp macro="" textlink="">
      <xdr:nvSpPr>
        <xdr:cNvPr id="5" name="Flèche : chevron 4">
          <a:hlinkClick xmlns:r="http://schemas.openxmlformats.org/officeDocument/2006/relationships" r:id="rId2"/>
          <a:extLst>
            <a:ext uri="{FF2B5EF4-FFF2-40B4-BE49-F238E27FC236}">
              <a16:creationId xmlns:a16="http://schemas.microsoft.com/office/drawing/2014/main" id="{AE1905B9-DCDD-4893-BB2B-53C92A45D21A}"/>
            </a:ext>
          </a:extLst>
        </xdr:cNvPr>
        <xdr:cNvSpPr/>
      </xdr:nvSpPr>
      <xdr:spPr>
        <a:xfrm>
          <a:off x="6069871" y="77585"/>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Jura (39)</a:t>
          </a:r>
        </a:p>
      </xdr:txBody>
    </xdr:sp>
    <xdr:clientData/>
  </xdr:twoCellAnchor>
  <xdr:twoCellAnchor>
    <xdr:from>
      <xdr:col>4</xdr:col>
      <xdr:colOff>629404</xdr:colOff>
      <xdr:row>0</xdr:row>
      <xdr:rowOff>77585</xdr:rowOff>
    </xdr:from>
    <xdr:to>
      <xdr:col>5</xdr:col>
      <xdr:colOff>476023</xdr:colOff>
      <xdr:row>0</xdr:row>
      <xdr:rowOff>594588</xdr:rowOff>
    </xdr:to>
    <xdr:sp macro="" textlink="">
      <xdr:nvSpPr>
        <xdr:cNvPr id="6" name="Flèche : chevron 5">
          <a:hlinkClick xmlns:r="http://schemas.openxmlformats.org/officeDocument/2006/relationships" r:id="rId3"/>
          <a:extLst>
            <a:ext uri="{FF2B5EF4-FFF2-40B4-BE49-F238E27FC236}">
              <a16:creationId xmlns:a16="http://schemas.microsoft.com/office/drawing/2014/main" id="{FA7F5235-3318-41B4-85CA-C34405DEB128}"/>
            </a:ext>
          </a:extLst>
        </xdr:cNvPr>
        <xdr:cNvSpPr/>
      </xdr:nvSpPr>
      <xdr:spPr>
        <a:xfrm>
          <a:off x="7623179" y="77585"/>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Nièvre (58)</a:t>
          </a:r>
          <a:r>
            <a:rPr lang="fr-FR" sz="900">
              <a:solidFill>
                <a:schemeClr val="tx1"/>
              </a:solidFill>
            </a:rPr>
            <a:t> </a:t>
          </a:r>
        </a:p>
      </xdr:txBody>
    </xdr:sp>
    <xdr:clientData/>
  </xdr:twoCellAnchor>
  <xdr:twoCellAnchor>
    <xdr:from>
      <xdr:col>2</xdr:col>
      <xdr:colOff>1035919</xdr:colOff>
      <xdr:row>0</xdr:row>
      <xdr:rowOff>77585</xdr:rowOff>
    </xdr:from>
    <xdr:to>
      <xdr:col>3</xdr:col>
      <xdr:colOff>561112</xdr:colOff>
      <xdr:row>0</xdr:row>
      <xdr:rowOff>594588</xdr:rowOff>
    </xdr:to>
    <xdr:sp macro="" textlink="">
      <xdr:nvSpPr>
        <xdr:cNvPr id="7" name="Flèche : chevron 6">
          <a:hlinkClick xmlns:r="http://schemas.openxmlformats.org/officeDocument/2006/relationships" r:id="rId4"/>
          <a:extLst>
            <a:ext uri="{FF2B5EF4-FFF2-40B4-BE49-F238E27FC236}">
              <a16:creationId xmlns:a16="http://schemas.microsoft.com/office/drawing/2014/main" id="{D59E1A9C-0943-40A8-BB22-AEDC0D47B0F0}"/>
            </a:ext>
          </a:extLst>
        </xdr:cNvPr>
        <xdr:cNvSpPr/>
      </xdr:nvSpPr>
      <xdr:spPr>
        <a:xfrm>
          <a:off x="4604850" y="77585"/>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effectLst/>
              <a:latin typeface="+mn-lt"/>
              <a:ea typeface="+mn-ea"/>
              <a:cs typeface="+mn-cs"/>
            </a:rPr>
            <a:t>Doubs (25)</a:t>
          </a:r>
          <a:endParaRPr lang="fr-FR" sz="900">
            <a:solidFill>
              <a:schemeClr val="tx1"/>
            </a:solidFill>
            <a:effectLst/>
          </a:endParaRPr>
        </a:p>
      </xdr:txBody>
    </xdr:sp>
    <xdr:clientData/>
  </xdr:twoCellAnchor>
  <xdr:twoCellAnchor>
    <xdr:from>
      <xdr:col>5</xdr:col>
      <xdr:colOff>340183</xdr:colOff>
      <xdr:row>0</xdr:row>
      <xdr:rowOff>77585</xdr:rowOff>
    </xdr:from>
    <xdr:to>
      <xdr:col>6</xdr:col>
      <xdr:colOff>840735</xdr:colOff>
      <xdr:row>0</xdr:row>
      <xdr:rowOff>594588</xdr:rowOff>
    </xdr:to>
    <xdr:sp macro="" textlink="">
      <xdr:nvSpPr>
        <xdr:cNvPr id="8" name="Flèche : chevron 7">
          <a:hlinkClick xmlns:r="http://schemas.openxmlformats.org/officeDocument/2006/relationships" r:id="rId5"/>
          <a:extLst>
            <a:ext uri="{FF2B5EF4-FFF2-40B4-BE49-F238E27FC236}">
              <a16:creationId xmlns:a16="http://schemas.microsoft.com/office/drawing/2014/main" id="{E5D8A4E7-2E8C-4614-B397-A5E65E8EC337}"/>
            </a:ext>
          </a:extLst>
        </xdr:cNvPr>
        <xdr:cNvSpPr/>
      </xdr:nvSpPr>
      <xdr:spPr>
        <a:xfrm>
          <a:off x="9107339" y="77585"/>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Haute-Saône (70)</a:t>
          </a:r>
        </a:p>
      </xdr:txBody>
    </xdr:sp>
    <xdr:clientData/>
  </xdr:twoCellAnchor>
  <xdr:twoCellAnchor>
    <xdr:from>
      <xdr:col>2</xdr:col>
      <xdr:colOff>0</xdr:colOff>
      <xdr:row>0</xdr:row>
      <xdr:rowOff>77585</xdr:rowOff>
    </xdr:from>
    <xdr:to>
      <xdr:col>2</xdr:col>
      <xdr:colOff>1117632</xdr:colOff>
      <xdr:row>0</xdr:row>
      <xdr:rowOff>594588</xdr:rowOff>
    </xdr:to>
    <xdr:sp macro="" textlink="">
      <xdr:nvSpPr>
        <xdr:cNvPr id="9" name="Flèche : chevron 8">
          <a:hlinkClick xmlns:r="http://schemas.openxmlformats.org/officeDocument/2006/relationships" r:id="rId6"/>
          <a:extLst>
            <a:ext uri="{FF2B5EF4-FFF2-40B4-BE49-F238E27FC236}">
              <a16:creationId xmlns:a16="http://schemas.microsoft.com/office/drawing/2014/main" id="{AC8EF13F-3C20-42F5-A7BC-5658FBD4865D}"/>
            </a:ext>
          </a:extLst>
        </xdr:cNvPr>
        <xdr:cNvSpPr/>
      </xdr:nvSpPr>
      <xdr:spPr>
        <a:xfrm>
          <a:off x="3066563" y="77585"/>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0">
              <a:solidFill>
                <a:schemeClr val="tx1"/>
              </a:solidFill>
            </a:rPr>
            <a:t>Côte-d'Or (21)</a:t>
          </a:r>
        </a:p>
      </xdr:txBody>
    </xdr:sp>
    <xdr:clientData/>
  </xdr:twoCellAnchor>
  <xdr:twoCellAnchor>
    <xdr:from>
      <xdr:col>6</xdr:col>
      <xdr:colOff>711021</xdr:colOff>
      <xdr:row>0</xdr:row>
      <xdr:rowOff>77585</xdr:rowOff>
    </xdr:from>
    <xdr:to>
      <xdr:col>7</xdr:col>
      <xdr:colOff>901232</xdr:colOff>
      <xdr:row>0</xdr:row>
      <xdr:rowOff>594588</xdr:rowOff>
    </xdr:to>
    <xdr:sp macro="" textlink="">
      <xdr:nvSpPr>
        <xdr:cNvPr id="10" name="Flèche : chevron 9">
          <a:hlinkClick xmlns:r="http://schemas.openxmlformats.org/officeDocument/2006/relationships" r:id="rId7"/>
          <a:extLst>
            <a:ext uri="{FF2B5EF4-FFF2-40B4-BE49-F238E27FC236}">
              <a16:creationId xmlns:a16="http://schemas.microsoft.com/office/drawing/2014/main" id="{1A983417-4178-4AF0-9418-9304763509B6}"/>
            </a:ext>
          </a:extLst>
        </xdr:cNvPr>
        <xdr:cNvSpPr/>
      </xdr:nvSpPr>
      <xdr:spPr>
        <a:xfrm>
          <a:off x="10597625" y="77585"/>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Saône-et-Loire (71)</a:t>
          </a:r>
        </a:p>
      </xdr:txBody>
    </xdr:sp>
    <xdr:clientData/>
  </xdr:twoCellAnchor>
  <xdr:twoCellAnchor>
    <xdr:from>
      <xdr:col>7</xdr:col>
      <xdr:colOff>756909</xdr:colOff>
      <xdr:row>0</xdr:row>
      <xdr:rowOff>77585</xdr:rowOff>
    </xdr:from>
    <xdr:to>
      <xdr:col>9</xdr:col>
      <xdr:colOff>93680</xdr:colOff>
      <xdr:row>0</xdr:row>
      <xdr:rowOff>594588</xdr:rowOff>
    </xdr:to>
    <xdr:sp macro="" textlink="">
      <xdr:nvSpPr>
        <xdr:cNvPr id="11" name="Flèche : chevron 10">
          <a:hlinkClick xmlns:r="http://schemas.openxmlformats.org/officeDocument/2006/relationships" r:id="rId8"/>
          <a:extLst>
            <a:ext uri="{FF2B5EF4-FFF2-40B4-BE49-F238E27FC236}">
              <a16:creationId xmlns:a16="http://schemas.microsoft.com/office/drawing/2014/main" id="{E423D065-E0BF-4A36-8104-6B36FBD53044}"/>
            </a:ext>
          </a:extLst>
        </xdr:cNvPr>
        <xdr:cNvSpPr/>
      </xdr:nvSpPr>
      <xdr:spPr>
        <a:xfrm>
          <a:off x="12073302" y="77585"/>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Yonne (89)</a:t>
          </a:r>
        </a:p>
      </xdr:txBody>
    </xdr:sp>
    <xdr:clientData/>
  </xdr:twoCellAnchor>
  <xdr:twoCellAnchor>
    <xdr:from>
      <xdr:col>8</xdr:col>
      <xdr:colOff>996541</xdr:colOff>
      <xdr:row>0</xdr:row>
      <xdr:rowOff>77585</xdr:rowOff>
    </xdr:from>
    <xdr:to>
      <xdr:col>9</xdr:col>
      <xdr:colOff>1574679</xdr:colOff>
      <xdr:row>0</xdr:row>
      <xdr:rowOff>594588</xdr:rowOff>
    </xdr:to>
    <xdr:sp macro="" textlink="">
      <xdr:nvSpPr>
        <xdr:cNvPr id="12" name="Flèche : chevron 11">
          <a:hlinkClick xmlns:r="http://schemas.openxmlformats.org/officeDocument/2006/relationships" r:id="rId9"/>
          <a:extLst>
            <a:ext uri="{FF2B5EF4-FFF2-40B4-BE49-F238E27FC236}">
              <a16:creationId xmlns:a16="http://schemas.microsoft.com/office/drawing/2014/main" id="{4A0AB7FE-AB44-4832-BE6A-4733F5E73093}"/>
            </a:ext>
          </a:extLst>
        </xdr:cNvPr>
        <xdr:cNvSpPr/>
      </xdr:nvSpPr>
      <xdr:spPr>
        <a:xfrm>
          <a:off x="13554301" y="77585"/>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Territoire</a:t>
          </a:r>
          <a:r>
            <a:rPr lang="fr-FR" sz="900" b="1" baseline="0">
              <a:solidFill>
                <a:schemeClr val="tx1"/>
              </a:solidFill>
            </a:rPr>
            <a:t> de Belfort (90)</a:t>
          </a:r>
          <a:endParaRPr lang="fr-FR" sz="900" b="1">
            <a:solidFill>
              <a:schemeClr val="tx1"/>
            </a:solidFill>
          </a:endParaRPr>
        </a:p>
      </xdr:txBody>
    </xdr:sp>
    <xdr:clientData/>
  </xdr:twoCellAnchor>
  <xdr:twoCellAnchor>
    <xdr:from>
      <xdr:col>9</xdr:col>
      <xdr:colOff>1441549</xdr:colOff>
      <xdr:row>0</xdr:row>
      <xdr:rowOff>77585</xdr:rowOff>
    </xdr:from>
    <xdr:to>
      <xdr:col>10</xdr:col>
      <xdr:colOff>1144080</xdr:colOff>
      <xdr:row>0</xdr:row>
      <xdr:rowOff>594588</xdr:rowOff>
    </xdr:to>
    <xdr:sp macro="" textlink="">
      <xdr:nvSpPr>
        <xdr:cNvPr id="13" name="Flèche : chevron 12">
          <a:hlinkClick xmlns:r="http://schemas.openxmlformats.org/officeDocument/2006/relationships" r:id="rId10"/>
          <a:extLst>
            <a:ext uri="{FF2B5EF4-FFF2-40B4-BE49-F238E27FC236}">
              <a16:creationId xmlns:a16="http://schemas.microsoft.com/office/drawing/2014/main" id="{D8FE4D0B-207F-4F29-AB5A-1D0F290E2CC1}"/>
            </a:ext>
          </a:extLst>
        </xdr:cNvPr>
        <xdr:cNvSpPr/>
      </xdr:nvSpPr>
      <xdr:spPr>
        <a:xfrm>
          <a:off x="15041171" y="77585"/>
          <a:ext cx="1620000" cy="517003"/>
        </a:xfrm>
        <a:prstGeom prst="chevron">
          <a:avLst/>
        </a:prstGeom>
        <a:solidFill>
          <a:srgbClr val="B887D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Intervention</a:t>
          </a:r>
          <a:r>
            <a:rPr lang="fr-FR" sz="900" b="1" baseline="0">
              <a:solidFill>
                <a:schemeClr val="tx1"/>
              </a:solidFill>
            </a:rPr>
            <a:t> en Nord-Franche-Comté</a:t>
          </a:r>
          <a:endParaRPr lang="fr-FR" sz="900" b="1">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1288868</xdr:colOff>
      <xdr:row>0</xdr:row>
      <xdr:rowOff>0</xdr:rowOff>
    </xdr:from>
    <xdr:to>
      <xdr:col>11</xdr:col>
      <xdr:colOff>365760</xdr:colOff>
      <xdr:row>0</xdr:row>
      <xdr:rowOff>722811</xdr:rowOff>
    </xdr:to>
    <xdr:sp macro="" textlink="">
      <xdr:nvSpPr>
        <xdr:cNvPr id="2" name="Flèche : pentagone 1">
          <a:extLst>
            <a:ext uri="{FF2B5EF4-FFF2-40B4-BE49-F238E27FC236}">
              <a16:creationId xmlns:a16="http://schemas.microsoft.com/office/drawing/2014/main" id="{11456EED-62FA-43CF-9997-5640759C0FE8}"/>
            </a:ext>
          </a:extLst>
        </xdr:cNvPr>
        <xdr:cNvSpPr/>
      </xdr:nvSpPr>
      <xdr:spPr>
        <a:xfrm>
          <a:off x="15065828" y="0"/>
          <a:ext cx="418012" cy="722811"/>
        </a:xfrm>
        <a:prstGeom prst="homePlate">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107579</xdr:colOff>
      <xdr:row>0</xdr:row>
      <xdr:rowOff>108089</xdr:rowOff>
    </xdr:from>
    <xdr:to>
      <xdr:col>0</xdr:col>
      <xdr:colOff>925159</xdr:colOff>
      <xdr:row>0</xdr:row>
      <xdr:rowOff>618308</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E49D2CD8-2962-42C2-9127-D92FF6DCC7C4}"/>
            </a:ext>
          </a:extLst>
        </xdr:cNvPr>
        <xdr:cNvSpPr/>
      </xdr:nvSpPr>
      <xdr:spPr>
        <a:xfrm>
          <a:off x="107579" y="108089"/>
          <a:ext cx="817580" cy="51021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t>Retour au sommaire </a:t>
          </a:r>
        </a:p>
      </xdr:txBody>
    </xdr:sp>
    <xdr:clientData/>
  </xdr:twoCellAnchor>
  <xdr:twoCellAnchor>
    <xdr:from>
      <xdr:col>3</xdr:col>
      <xdr:colOff>6463</xdr:colOff>
      <xdr:row>0</xdr:row>
      <xdr:rowOff>106878</xdr:rowOff>
    </xdr:from>
    <xdr:to>
      <xdr:col>4</xdr:col>
      <xdr:colOff>488200</xdr:colOff>
      <xdr:row>0</xdr:row>
      <xdr:rowOff>623880</xdr:rowOff>
    </xdr:to>
    <xdr:sp macro="" textlink="">
      <xdr:nvSpPr>
        <xdr:cNvPr id="12" name="Flèche : pentagone 11">
          <a:hlinkClick xmlns:r="http://schemas.openxmlformats.org/officeDocument/2006/relationships" r:id="rId2"/>
          <a:extLst>
            <a:ext uri="{FF2B5EF4-FFF2-40B4-BE49-F238E27FC236}">
              <a16:creationId xmlns:a16="http://schemas.microsoft.com/office/drawing/2014/main" id="{FFF4F6E3-8D91-4639-895B-6F573DD7D113}"/>
            </a:ext>
          </a:extLst>
        </xdr:cNvPr>
        <xdr:cNvSpPr/>
      </xdr:nvSpPr>
      <xdr:spPr>
        <a:xfrm>
          <a:off x="2788456" y="106878"/>
          <a:ext cx="1867191" cy="517002"/>
        </a:xfrm>
        <a:prstGeom prst="homePlate">
          <a:avLst/>
        </a:prstGeom>
        <a:solidFill>
          <a:schemeClr val="accent5">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050" b="1"/>
            <a:t>Toutes les structures accessibles sur accès</a:t>
          </a:r>
          <a:r>
            <a:rPr lang="fr-FR" sz="1050" b="1" baseline="0"/>
            <a:t> direct</a:t>
          </a:r>
          <a:endParaRPr lang="fr-FR"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1605280</xdr:colOff>
      <xdr:row>0</xdr:row>
      <xdr:rowOff>0</xdr:rowOff>
    </xdr:from>
    <xdr:to>
      <xdr:col>13</xdr:col>
      <xdr:colOff>235416</xdr:colOff>
      <xdr:row>0</xdr:row>
      <xdr:rowOff>722811</xdr:rowOff>
    </xdr:to>
    <xdr:sp macro="" textlink="">
      <xdr:nvSpPr>
        <xdr:cNvPr id="2" name="Flèche : pentagone 1">
          <a:extLst>
            <a:ext uri="{FF2B5EF4-FFF2-40B4-BE49-F238E27FC236}">
              <a16:creationId xmlns:a16="http://schemas.microsoft.com/office/drawing/2014/main" id="{8D5592CF-F7DC-4909-91C9-CCD2B4F220BE}"/>
            </a:ext>
          </a:extLst>
        </xdr:cNvPr>
        <xdr:cNvSpPr/>
      </xdr:nvSpPr>
      <xdr:spPr>
        <a:xfrm>
          <a:off x="20076160" y="0"/>
          <a:ext cx="666200" cy="722811"/>
        </a:xfrm>
        <a:prstGeom prst="homePlate">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107579</xdr:colOff>
      <xdr:row>0</xdr:row>
      <xdr:rowOff>108089</xdr:rowOff>
    </xdr:from>
    <xdr:to>
      <xdr:col>0</xdr:col>
      <xdr:colOff>925159</xdr:colOff>
      <xdr:row>0</xdr:row>
      <xdr:rowOff>618308</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FD75A6BD-165A-48DD-B78E-B2981E9088DA}"/>
            </a:ext>
          </a:extLst>
        </xdr:cNvPr>
        <xdr:cNvSpPr/>
      </xdr:nvSpPr>
      <xdr:spPr>
        <a:xfrm>
          <a:off x="107579" y="108089"/>
          <a:ext cx="817580" cy="51021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t>Retour au sommaire </a:t>
          </a:r>
        </a:p>
      </xdr:txBody>
    </xdr:sp>
    <xdr:clientData/>
  </xdr:twoCellAnchor>
  <xdr:twoCellAnchor>
    <xdr:from>
      <xdr:col>1</xdr:col>
      <xdr:colOff>101600</xdr:colOff>
      <xdr:row>0</xdr:row>
      <xdr:rowOff>132080</xdr:rowOff>
    </xdr:from>
    <xdr:to>
      <xdr:col>2</xdr:col>
      <xdr:colOff>1355840</xdr:colOff>
      <xdr:row>0</xdr:row>
      <xdr:rowOff>649082</xdr:rowOff>
    </xdr:to>
    <xdr:sp macro="" textlink="">
      <xdr:nvSpPr>
        <xdr:cNvPr id="52" name="Flèche : pentagone 51">
          <a:hlinkClick xmlns:r="http://schemas.openxmlformats.org/officeDocument/2006/relationships" r:id="rId2"/>
          <a:extLst>
            <a:ext uri="{FF2B5EF4-FFF2-40B4-BE49-F238E27FC236}">
              <a16:creationId xmlns:a16="http://schemas.microsoft.com/office/drawing/2014/main" id="{8AF9E87B-2C58-4611-AFC2-AAA18FD221D5}"/>
            </a:ext>
          </a:extLst>
        </xdr:cNvPr>
        <xdr:cNvSpPr/>
      </xdr:nvSpPr>
      <xdr:spPr>
        <a:xfrm>
          <a:off x="1320800" y="132080"/>
          <a:ext cx="1620000" cy="517002"/>
        </a:xfrm>
        <a:prstGeom prst="homePlate">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tx1"/>
              </a:solidFill>
            </a:rPr>
            <a:t>Toutes les structures de</a:t>
          </a:r>
          <a:r>
            <a:rPr lang="fr-FR" sz="1100" b="1" baseline="0">
              <a:solidFill>
                <a:schemeClr val="tx1"/>
              </a:solidFill>
            </a:rPr>
            <a:t> la région</a:t>
          </a:r>
          <a:endParaRPr lang="fr-FR" sz="1100" b="1">
            <a:solidFill>
              <a:schemeClr val="tx1"/>
            </a:solidFill>
          </a:endParaRPr>
        </a:p>
      </xdr:txBody>
    </xdr:sp>
    <xdr:clientData/>
  </xdr:twoCellAnchor>
  <xdr:twoCellAnchor>
    <xdr:from>
      <xdr:col>4</xdr:col>
      <xdr:colOff>501267</xdr:colOff>
      <xdr:row>0</xdr:row>
      <xdr:rowOff>132080</xdr:rowOff>
    </xdr:from>
    <xdr:to>
      <xdr:col>5</xdr:col>
      <xdr:colOff>1095107</xdr:colOff>
      <xdr:row>0</xdr:row>
      <xdr:rowOff>649083</xdr:rowOff>
    </xdr:to>
    <xdr:sp macro="" textlink="">
      <xdr:nvSpPr>
        <xdr:cNvPr id="53" name="Flèche : chevron 52">
          <a:hlinkClick xmlns:r="http://schemas.openxmlformats.org/officeDocument/2006/relationships" r:id="rId3"/>
          <a:extLst>
            <a:ext uri="{FF2B5EF4-FFF2-40B4-BE49-F238E27FC236}">
              <a16:creationId xmlns:a16="http://schemas.microsoft.com/office/drawing/2014/main" id="{B9E755D4-46F5-42DE-AFEC-4B0CF35F5D55}"/>
            </a:ext>
          </a:extLst>
        </xdr:cNvPr>
        <xdr:cNvSpPr/>
      </xdr:nvSpPr>
      <xdr:spPr>
        <a:xfrm>
          <a:off x="5794627" y="13208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Jura (39)</a:t>
          </a:r>
        </a:p>
      </xdr:txBody>
    </xdr:sp>
    <xdr:clientData/>
  </xdr:twoCellAnchor>
  <xdr:twoCellAnchor>
    <xdr:from>
      <xdr:col>5</xdr:col>
      <xdr:colOff>1028415</xdr:colOff>
      <xdr:row>0</xdr:row>
      <xdr:rowOff>132080</xdr:rowOff>
    </xdr:from>
    <xdr:to>
      <xdr:col>6</xdr:col>
      <xdr:colOff>616415</xdr:colOff>
      <xdr:row>0</xdr:row>
      <xdr:rowOff>649083</xdr:rowOff>
    </xdr:to>
    <xdr:sp macro="" textlink="">
      <xdr:nvSpPr>
        <xdr:cNvPr id="54" name="Flèche : chevron 53">
          <a:hlinkClick xmlns:r="http://schemas.openxmlformats.org/officeDocument/2006/relationships" r:id="rId4"/>
          <a:extLst>
            <a:ext uri="{FF2B5EF4-FFF2-40B4-BE49-F238E27FC236}">
              <a16:creationId xmlns:a16="http://schemas.microsoft.com/office/drawing/2014/main" id="{57049DD4-AFCD-4FCC-AAF6-D5955739E79A}"/>
            </a:ext>
          </a:extLst>
        </xdr:cNvPr>
        <xdr:cNvSpPr/>
      </xdr:nvSpPr>
      <xdr:spPr>
        <a:xfrm>
          <a:off x="7347935" y="13208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Nièvre (58)</a:t>
          </a:r>
          <a:r>
            <a:rPr lang="fr-FR" sz="900">
              <a:solidFill>
                <a:schemeClr val="tx1"/>
              </a:solidFill>
            </a:rPr>
            <a:t> </a:t>
          </a:r>
        </a:p>
      </xdr:txBody>
    </xdr:sp>
    <xdr:clientData/>
  </xdr:twoCellAnchor>
  <xdr:twoCellAnchor>
    <xdr:from>
      <xdr:col>3</xdr:col>
      <xdr:colOff>661846</xdr:colOff>
      <xdr:row>0</xdr:row>
      <xdr:rowOff>132080</xdr:rowOff>
    </xdr:from>
    <xdr:to>
      <xdr:col>4</xdr:col>
      <xdr:colOff>656246</xdr:colOff>
      <xdr:row>0</xdr:row>
      <xdr:rowOff>649083</xdr:rowOff>
    </xdr:to>
    <xdr:sp macro="" textlink="">
      <xdr:nvSpPr>
        <xdr:cNvPr id="55" name="Flèche : chevron 54">
          <a:hlinkClick xmlns:r="http://schemas.openxmlformats.org/officeDocument/2006/relationships" r:id="rId5"/>
          <a:extLst>
            <a:ext uri="{FF2B5EF4-FFF2-40B4-BE49-F238E27FC236}">
              <a16:creationId xmlns:a16="http://schemas.microsoft.com/office/drawing/2014/main" id="{DFB138F3-0D8B-4626-96B7-8E7E00512F44}"/>
            </a:ext>
          </a:extLst>
        </xdr:cNvPr>
        <xdr:cNvSpPr/>
      </xdr:nvSpPr>
      <xdr:spPr>
        <a:xfrm>
          <a:off x="4329606" y="13208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effectLst/>
              <a:latin typeface="+mn-lt"/>
              <a:ea typeface="+mn-ea"/>
              <a:cs typeface="+mn-cs"/>
            </a:rPr>
            <a:t>Doubs (25)</a:t>
          </a:r>
          <a:endParaRPr lang="fr-FR" sz="900">
            <a:solidFill>
              <a:schemeClr val="tx1"/>
            </a:solidFill>
            <a:effectLst/>
          </a:endParaRPr>
        </a:p>
      </xdr:txBody>
    </xdr:sp>
    <xdr:clientData/>
  </xdr:twoCellAnchor>
  <xdr:twoCellAnchor>
    <xdr:from>
      <xdr:col>6</xdr:col>
      <xdr:colOff>480575</xdr:colOff>
      <xdr:row>0</xdr:row>
      <xdr:rowOff>132080</xdr:rowOff>
    </xdr:from>
    <xdr:to>
      <xdr:col>7</xdr:col>
      <xdr:colOff>383535</xdr:colOff>
      <xdr:row>0</xdr:row>
      <xdr:rowOff>649083</xdr:rowOff>
    </xdr:to>
    <xdr:sp macro="" textlink="">
      <xdr:nvSpPr>
        <xdr:cNvPr id="56" name="Flèche : chevron 55">
          <a:hlinkClick xmlns:r="http://schemas.openxmlformats.org/officeDocument/2006/relationships" r:id="rId6"/>
          <a:extLst>
            <a:ext uri="{FF2B5EF4-FFF2-40B4-BE49-F238E27FC236}">
              <a16:creationId xmlns:a16="http://schemas.microsoft.com/office/drawing/2014/main" id="{FDAA03D4-9469-45A0-80E5-D633352180AB}"/>
            </a:ext>
          </a:extLst>
        </xdr:cNvPr>
        <xdr:cNvSpPr/>
      </xdr:nvSpPr>
      <xdr:spPr>
        <a:xfrm>
          <a:off x="8832095" y="13208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Haute-Saône (70)</a:t>
          </a:r>
        </a:p>
      </xdr:txBody>
    </xdr:sp>
    <xdr:clientData/>
  </xdr:twoCellAnchor>
  <xdr:twoCellAnchor>
    <xdr:from>
      <xdr:col>2</xdr:col>
      <xdr:colOff>1206359</xdr:colOff>
      <xdr:row>0</xdr:row>
      <xdr:rowOff>132080</xdr:rowOff>
    </xdr:from>
    <xdr:to>
      <xdr:col>3</xdr:col>
      <xdr:colOff>743559</xdr:colOff>
      <xdr:row>0</xdr:row>
      <xdr:rowOff>649083</xdr:rowOff>
    </xdr:to>
    <xdr:sp macro="" textlink="">
      <xdr:nvSpPr>
        <xdr:cNvPr id="57" name="Flèche : chevron 56">
          <a:hlinkClick xmlns:r="http://schemas.openxmlformats.org/officeDocument/2006/relationships" r:id="rId7"/>
          <a:extLst>
            <a:ext uri="{FF2B5EF4-FFF2-40B4-BE49-F238E27FC236}">
              <a16:creationId xmlns:a16="http://schemas.microsoft.com/office/drawing/2014/main" id="{038E26A3-05EC-4E48-86B0-E5F7B3A48514}"/>
            </a:ext>
          </a:extLst>
        </xdr:cNvPr>
        <xdr:cNvSpPr/>
      </xdr:nvSpPr>
      <xdr:spPr>
        <a:xfrm>
          <a:off x="2791319" y="13208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Côte-d'Or (21)</a:t>
          </a:r>
          <a:endParaRPr lang="fr-FR" sz="900">
            <a:solidFill>
              <a:schemeClr val="tx1"/>
            </a:solidFill>
          </a:endParaRPr>
        </a:p>
      </xdr:txBody>
    </xdr:sp>
    <xdr:clientData/>
  </xdr:twoCellAnchor>
  <xdr:twoCellAnchor>
    <xdr:from>
      <xdr:col>7</xdr:col>
      <xdr:colOff>253821</xdr:colOff>
      <xdr:row>0</xdr:row>
      <xdr:rowOff>132080</xdr:rowOff>
    </xdr:from>
    <xdr:to>
      <xdr:col>7</xdr:col>
      <xdr:colOff>1873821</xdr:colOff>
      <xdr:row>0</xdr:row>
      <xdr:rowOff>649083</xdr:rowOff>
    </xdr:to>
    <xdr:sp macro="" textlink="">
      <xdr:nvSpPr>
        <xdr:cNvPr id="58" name="Flèche : chevron 57">
          <a:hlinkClick xmlns:r="http://schemas.openxmlformats.org/officeDocument/2006/relationships" r:id="rId8"/>
          <a:extLst>
            <a:ext uri="{FF2B5EF4-FFF2-40B4-BE49-F238E27FC236}">
              <a16:creationId xmlns:a16="http://schemas.microsoft.com/office/drawing/2014/main" id="{3391D964-E7E0-4FEC-A20E-F75EA7C5FE49}"/>
            </a:ext>
          </a:extLst>
        </xdr:cNvPr>
        <xdr:cNvSpPr/>
      </xdr:nvSpPr>
      <xdr:spPr>
        <a:xfrm>
          <a:off x="10322381" y="13208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Saône-et-Loire (71)</a:t>
          </a:r>
        </a:p>
      </xdr:txBody>
    </xdr:sp>
    <xdr:clientData/>
  </xdr:twoCellAnchor>
  <xdr:twoCellAnchor>
    <xdr:from>
      <xdr:col>7</xdr:col>
      <xdr:colOff>1729498</xdr:colOff>
      <xdr:row>0</xdr:row>
      <xdr:rowOff>132080</xdr:rowOff>
    </xdr:from>
    <xdr:to>
      <xdr:col>8</xdr:col>
      <xdr:colOff>1226058</xdr:colOff>
      <xdr:row>0</xdr:row>
      <xdr:rowOff>649083</xdr:rowOff>
    </xdr:to>
    <xdr:sp macro="" textlink="">
      <xdr:nvSpPr>
        <xdr:cNvPr id="59" name="Flèche : chevron 58">
          <a:hlinkClick xmlns:r="http://schemas.openxmlformats.org/officeDocument/2006/relationships" r:id="rId9"/>
          <a:extLst>
            <a:ext uri="{FF2B5EF4-FFF2-40B4-BE49-F238E27FC236}">
              <a16:creationId xmlns:a16="http://schemas.microsoft.com/office/drawing/2014/main" id="{B30DDAD3-C485-45E3-ADF6-9F4BC00AC9B5}"/>
            </a:ext>
          </a:extLst>
        </xdr:cNvPr>
        <xdr:cNvSpPr/>
      </xdr:nvSpPr>
      <xdr:spPr>
        <a:xfrm>
          <a:off x="11798058" y="13208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Yonne (89)</a:t>
          </a:r>
        </a:p>
      </xdr:txBody>
    </xdr:sp>
    <xdr:clientData/>
  </xdr:twoCellAnchor>
  <xdr:twoCellAnchor>
    <xdr:from>
      <xdr:col>8</xdr:col>
      <xdr:colOff>1087057</xdr:colOff>
      <xdr:row>0</xdr:row>
      <xdr:rowOff>132080</xdr:rowOff>
    </xdr:from>
    <xdr:to>
      <xdr:col>10</xdr:col>
      <xdr:colOff>177217</xdr:colOff>
      <xdr:row>0</xdr:row>
      <xdr:rowOff>649083</xdr:rowOff>
    </xdr:to>
    <xdr:sp macro="" textlink="">
      <xdr:nvSpPr>
        <xdr:cNvPr id="60" name="Flèche : chevron 59">
          <a:hlinkClick xmlns:r="http://schemas.openxmlformats.org/officeDocument/2006/relationships" r:id="rId10"/>
          <a:extLst>
            <a:ext uri="{FF2B5EF4-FFF2-40B4-BE49-F238E27FC236}">
              <a16:creationId xmlns:a16="http://schemas.microsoft.com/office/drawing/2014/main" id="{79829474-E31E-430C-9300-BD3DC95D3F75}"/>
            </a:ext>
          </a:extLst>
        </xdr:cNvPr>
        <xdr:cNvSpPr/>
      </xdr:nvSpPr>
      <xdr:spPr>
        <a:xfrm>
          <a:off x="13279057" y="13208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Territoire</a:t>
          </a:r>
          <a:r>
            <a:rPr lang="fr-FR" sz="900" b="1" baseline="0">
              <a:solidFill>
                <a:schemeClr val="tx1"/>
              </a:solidFill>
            </a:rPr>
            <a:t> de Belfort (90)</a:t>
          </a:r>
          <a:endParaRPr lang="fr-FR" sz="900" b="1">
            <a:solidFill>
              <a:schemeClr val="tx1"/>
            </a:solidFill>
          </a:endParaRPr>
        </a:p>
      </xdr:txBody>
    </xdr:sp>
    <xdr:clientData/>
  </xdr:twoCellAnchor>
  <xdr:twoCellAnchor>
    <xdr:from>
      <xdr:col>10</xdr:col>
      <xdr:colOff>44087</xdr:colOff>
      <xdr:row>0</xdr:row>
      <xdr:rowOff>132080</xdr:rowOff>
    </xdr:from>
    <xdr:to>
      <xdr:col>10</xdr:col>
      <xdr:colOff>1664087</xdr:colOff>
      <xdr:row>0</xdr:row>
      <xdr:rowOff>649083</xdr:rowOff>
    </xdr:to>
    <xdr:sp macro="" textlink="">
      <xdr:nvSpPr>
        <xdr:cNvPr id="61" name="Flèche : chevron 60">
          <a:hlinkClick xmlns:r="http://schemas.openxmlformats.org/officeDocument/2006/relationships" r:id="rId11"/>
          <a:extLst>
            <a:ext uri="{FF2B5EF4-FFF2-40B4-BE49-F238E27FC236}">
              <a16:creationId xmlns:a16="http://schemas.microsoft.com/office/drawing/2014/main" id="{BA11EE70-5CEC-4905-9198-3E88118E9CB1}"/>
            </a:ext>
          </a:extLst>
        </xdr:cNvPr>
        <xdr:cNvSpPr/>
      </xdr:nvSpPr>
      <xdr:spPr>
        <a:xfrm>
          <a:off x="14765927" y="13208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Intervention</a:t>
          </a:r>
          <a:r>
            <a:rPr lang="fr-FR" sz="900" b="1" baseline="0">
              <a:solidFill>
                <a:schemeClr val="tx1"/>
              </a:solidFill>
            </a:rPr>
            <a:t> en Nord-Franche-Comté</a:t>
          </a:r>
          <a:endParaRPr lang="fr-FR" sz="9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90055</xdr:colOff>
      <xdr:row>0</xdr:row>
      <xdr:rowOff>126076</xdr:rowOff>
    </xdr:from>
    <xdr:to>
      <xdr:col>0</xdr:col>
      <xdr:colOff>907635</xdr:colOff>
      <xdr:row>0</xdr:row>
      <xdr:rowOff>636295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8ECFECE-08E1-4053-A4D1-6803AD673363}"/>
            </a:ext>
          </a:extLst>
        </xdr:cNvPr>
        <xdr:cNvSpPr/>
      </xdr:nvSpPr>
      <xdr:spPr>
        <a:xfrm>
          <a:off x="90055" y="126076"/>
          <a:ext cx="817580" cy="51021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t>Retour au sommaire </a:t>
          </a:r>
        </a:p>
      </xdr:txBody>
    </xdr:sp>
    <xdr:clientData/>
  </xdr:twoCellAnchor>
  <xdr:twoCellAnchor>
    <xdr:from>
      <xdr:col>9</xdr:col>
      <xdr:colOff>1499524</xdr:colOff>
      <xdr:row>0</xdr:row>
      <xdr:rowOff>0</xdr:rowOff>
    </xdr:from>
    <xdr:to>
      <xdr:col>10</xdr:col>
      <xdr:colOff>216131</xdr:colOff>
      <xdr:row>0</xdr:row>
      <xdr:rowOff>709353</xdr:rowOff>
    </xdr:to>
    <xdr:sp macro="" textlink="">
      <xdr:nvSpPr>
        <xdr:cNvPr id="3" name="Flèche : pentagone 2">
          <a:extLst>
            <a:ext uri="{FF2B5EF4-FFF2-40B4-BE49-F238E27FC236}">
              <a16:creationId xmlns:a16="http://schemas.microsoft.com/office/drawing/2014/main" id="{415CFF4E-D842-4786-819C-96E908BD45B8}"/>
            </a:ext>
          </a:extLst>
        </xdr:cNvPr>
        <xdr:cNvSpPr/>
      </xdr:nvSpPr>
      <xdr:spPr>
        <a:xfrm>
          <a:off x="18324484" y="0"/>
          <a:ext cx="225367" cy="709353"/>
        </a:xfrm>
        <a:prstGeom prst="homePlate">
          <a:avLst/>
        </a:prstGeom>
        <a:solidFill>
          <a:srgbClr val="DCC5ED"/>
        </a:solidFill>
        <a:ln>
          <a:solidFill>
            <a:srgbClr val="DCC5E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0</xdr:row>
      <xdr:rowOff>99752</xdr:rowOff>
    </xdr:from>
    <xdr:to>
      <xdr:col>2</xdr:col>
      <xdr:colOff>1620000</xdr:colOff>
      <xdr:row>0</xdr:row>
      <xdr:rowOff>616754</xdr:rowOff>
    </xdr:to>
    <xdr:sp macro="" textlink="">
      <xdr:nvSpPr>
        <xdr:cNvPr id="31" name="Flèche : pentagone 30">
          <a:hlinkClick xmlns:r="http://schemas.openxmlformats.org/officeDocument/2006/relationships" r:id="rId2"/>
          <a:extLst>
            <a:ext uri="{FF2B5EF4-FFF2-40B4-BE49-F238E27FC236}">
              <a16:creationId xmlns:a16="http://schemas.microsoft.com/office/drawing/2014/main" id="{11A33011-F2B8-4E68-8FB0-ED6FF94FDF25}"/>
            </a:ext>
          </a:extLst>
        </xdr:cNvPr>
        <xdr:cNvSpPr/>
      </xdr:nvSpPr>
      <xdr:spPr>
        <a:xfrm>
          <a:off x="1584960" y="99752"/>
          <a:ext cx="1620000" cy="517002"/>
        </a:xfrm>
        <a:prstGeom prst="homePlate">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chemeClr val="tx1"/>
              </a:solidFill>
            </a:rPr>
            <a:t>Toutes les structures de</a:t>
          </a:r>
          <a:r>
            <a:rPr lang="fr-FR" sz="1100" b="0" baseline="0">
              <a:solidFill>
                <a:schemeClr val="tx1"/>
              </a:solidFill>
            </a:rPr>
            <a:t> la région</a:t>
          </a:r>
          <a:endParaRPr lang="fr-FR" sz="1100" b="0">
            <a:solidFill>
              <a:schemeClr val="tx1"/>
            </a:solidFill>
          </a:endParaRPr>
        </a:p>
      </xdr:txBody>
    </xdr:sp>
    <xdr:clientData/>
  </xdr:twoCellAnchor>
  <xdr:twoCellAnchor>
    <xdr:from>
      <xdr:col>3</xdr:col>
      <xdr:colOff>2512023</xdr:colOff>
      <xdr:row>0</xdr:row>
      <xdr:rowOff>99752</xdr:rowOff>
    </xdr:from>
    <xdr:to>
      <xdr:col>4</xdr:col>
      <xdr:colOff>1449783</xdr:colOff>
      <xdr:row>0</xdr:row>
      <xdr:rowOff>616755</xdr:rowOff>
    </xdr:to>
    <xdr:sp macro="" textlink="">
      <xdr:nvSpPr>
        <xdr:cNvPr id="32" name="Flèche : chevron 31">
          <a:hlinkClick xmlns:r="http://schemas.openxmlformats.org/officeDocument/2006/relationships" r:id="rId3"/>
          <a:extLst>
            <a:ext uri="{FF2B5EF4-FFF2-40B4-BE49-F238E27FC236}">
              <a16:creationId xmlns:a16="http://schemas.microsoft.com/office/drawing/2014/main" id="{AFDB8E17-561A-4AE5-B396-8FFA0EE63F96}"/>
            </a:ext>
          </a:extLst>
        </xdr:cNvPr>
        <xdr:cNvSpPr/>
      </xdr:nvSpPr>
      <xdr:spPr>
        <a:xfrm>
          <a:off x="6058787" y="99752"/>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Jura (39)</a:t>
          </a:r>
        </a:p>
      </xdr:txBody>
    </xdr:sp>
    <xdr:clientData/>
  </xdr:twoCellAnchor>
  <xdr:twoCellAnchor>
    <xdr:from>
      <xdr:col>4</xdr:col>
      <xdr:colOff>1383091</xdr:colOff>
      <xdr:row>0</xdr:row>
      <xdr:rowOff>99752</xdr:rowOff>
    </xdr:from>
    <xdr:to>
      <xdr:col>5</xdr:col>
      <xdr:colOff>1229710</xdr:colOff>
      <xdr:row>0</xdr:row>
      <xdr:rowOff>616755</xdr:rowOff>
    </xdr:to>
    <xdr:sp macro="" textlink="">
      <xdr:nvSpPr>
        <xdr:cNvPr id="33" name="Flèche : chevron 32">
          <a:hlinkClick xmlns:r="http://schemas.openxmlformats.org/officeDocument/2006/relationships" r:id="rId4"/>
          <a:extLst>
            <a:ext uri="{FF2B5EF4-FFF2-40B4-BE49-F238E27FC236}">
              <a16:creationId xmlns:a16="http://schemas.microsoft.com/office/drawing/2014/main" id="{94762CC5-EE3A-4DB7-BB34-EBBA88F52242}"/>
            </a:ext>
          </a:extLst>
        </xdr:cNvPr>
        <xdr:cNvSpPr/>
      </xdr:nvSpPr>
      <xdr:spPr>
        <a:xfrm>
          <a:off x="7612095" y="99752"/>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Nièvre (58)</a:t>
          </a:r>
          <a:r>
            <a:rPr lang="fr-FR" sz="900">
              <a:solidFill>
                <a:schemeClr val="tx1"/>
              </a:solidFill>
            </a:rPr>
            <a:t> </a:t>
          </a:r>
        </a:p>
      </xdr:txBody>
    </xdr:sp>
    <xdr:clientData/>
  </xdr:twoCellAnchor>
  <xdr:twoCellAnchor>
    <xdr:from>
      <xdr:col>3</xdr:col>
      <xdr:colOff>1047002</xdr:colOff>
      <xdr:row>0</xdr:row>
      <xdr:rowOff>99752</xdr:rowOff>
    </xdr:from>
    <xdr:to>
      <xdr:col>3</xdr:col>
      <xdr:colOff>2667002</xdr:colOff>
      <xdr:row>0</xdr:row>
      <xdr:rowOff>616755</xdr:rowOff>
    </xdr:to>
    <xdr:sp macro="" textlink="">
      <xdr:nvSpPr>
        <xdr:cNvPr id="34" name="Flèche : chevron 33">
          <a:hlinkClick xmlns:r="http://schemas.openxmlformats.org/officeDocument/2006/relationships" r:id="rId5"/>
          <a:extLst>
            <a:ext uri="{FF2B5EF4-FFF2-40B4-BE49-F238E27FC236}">
              <a16:creationId xmlns:a16="http://schemas.microsoft.com/office/drawing/2014/main" id="{9FF45414-76DF-49E2-89C4-9F560FBF80D2}"/>
            </a:ext>
          </a:extLst>
        </xdr:cNvPr>
        <xdr:cNvSpPr/>
      </xdr:nvSpPr>
      <xdr:spPr>
        <a:xfrm>
          <a:off x="4593766" y="99752"/>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effectLst/>
              <a:latin typeface="+mn-lt"/>
              <a:ea typeface="+mn-ea"/>
              <a:cs typeface="+mn-cs"/>
            </a:rPr>
            <a:t>Doubs (25)</a:t>
          </a:r>
          <a:endParaRPr lang="fr-FR" sz="900">
            <a:solidFill>
              <a:schemeClr val="tx1"/>
            </a:solidFill>
            <a:effectLst/>
          </a:endParaRPr>
        </a:p>
      </xdr:txBody>
    </xdr:sp>
    <xdr:clientData/>
  </xdr:twoCellAnchor>
  <xdr:twoCellAnchor>
    <xdr:from>
      <xdr:col>5</xdr:col>
      <xdr:colOff>1093870</xdr:colOff>
      <xdr:row>0</xdr:row>
      <xdr:rowOff>99752</xdr:rowOff>
    </xdr:from>
    <xdr:to>
      <xdr:col>6</xdr:col>
      <xdr:colOff>1162160</xdr:colOff>
      <xdr:row>0</xdr:row>
      <xdr:rowOff>616755</xdr:rowOff>
    </xdr:to>
    <xdr:sp macro="" textlink="">
      <xdr:nvSpPr>
        <xdr:cNvPr id="35" name="Flèche : chevron 34">
          <a:hlinkClick xmlns:r="http://schemas.openxmlformats.org/officeDocument/2006/relationships" r:id="rId6"/>
          <a:extLst>
            <a:ext uri="{FF2B5EF4-FFF2-40B4-BE49-F238E27FC236}">
              <a16:creationId xmlns:a16="http://schemas.microsoft.com/office/drawing/2014/main" id="{6367DFD9-A1F1-45FF-A970-D991EBF4E450}"/>
            </a:ext>
          </a:extLst>
        </xdr:cNvPr>
        <xdr:cNvSpPr/>
      </xdr:nvSpPr>
      <xdr:spPr>
        <a:xfrm>
          <a:off x="9096255" y="99752"/>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Haute-Saône (70)</a:t>
          </a:r>
        </a:p>
      </xdr:txBody>
    </xdr:sp>
    <xdr:clientData/>
  </xdr:twoCellAnchor>
  <xdr:twoCellAnchor>
    <xdr:from>
      <xdr:col>2</xdr:col>
      <xdr:colOff>1470519</xdr:colOff>
      <xdr:row>0</xdr:row>
      <xdr:rowOff>99752</xdr:rowOff>
    </xdr:from>
    <xdr:to>
      <xdr:col>3</xdr:col>
      <xdr:colOff>1128715</xdr:colOff>
      <xdr:row>0</xdr:row>
      <xdr:rowOff>616755</xdr:rowOff>
    </xdr:to>
    <xdr:sp macro="" textlink="">
      <xdr:nvSpPr>
        <xdr:cNvPr id="36" name="Flèche : chevron 35">
          <a:hlinkClick xmlns:r="http://schemas.openxmlformats.org/officeDocument/2006/relationships" r:id="rId7"/>
          <a:extLst>
            <a:ext uri="{FF2B5EF4-FFF2-40B4-BE49-F238E27FC236}">
              <a16:creationId xmlns:a16="http://schemas.microsoft.com/office/drawing/2014/main" id="{BA902C6C-90E8-467F-9D66-097884EBC875}"/>
            </a:ext>
          </a:extLst>
        </xdr:cNvPr>
        <xdr:cNvSpPr/>
      </xdr:nvSpPr>
      <xdr:spPr>
        <a:xfrm>
          <a:off x="3055479" y="99752"/>
          <a:ext cx="1620000" cy="517003"/>
        </a:xfrm>
        <a:prstGeom prst="chevron">
          <a:avLst/>
        </a:prstGeom>
        <a:solidFill>
          <a:srgbClr val="B887D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0">
              <a:solidFill>
                <a:schemeClr val="tx1"/>
              </a:solidFill>
            </a:rPr>
            <a:t>Côte-d'Or (21)</a:t>
          </a:r>
        </a:p>
      </xdr:txBody>
    </xdr:sp>
    <xdr:clientData/>
  </xdr:twoCellAnchor>
  <xdr:twoCellAnchor>
    <xdr:from>
      <xdr:col>6</xdr:col>
      <xdr:colOff>1032446</xdr:colOff>
      <xdr:row>0</xdr:row>
      <xdr:rowOff>99752</xdr:rowOff>
    </xdr:from>
    <xdr:to>
      <xdr:col>7</xdr:col>
      <xdr:colOff>491137</xdr:colOff>
      <xdr:row>0</xdr:row>
      <xdr:rowOff>616755</xdr:rowOff>
    </xdr:to>
    <xdr:sp macro="" textlink="">
      <xdr:nvSpPr>
        <xdr:cNvPr id="37" name="Flèche : chevron 36">
          <a:hlinkClick xmlns:r="http://schemas.openxmlformats.org/officeDocument/2006/relationships" r:id="rId8"/>
          <a:extLst>
            <a:ext uri="{FF2B5EF4-FFF2-40B4-BE49-F238E27FC236}">
              <a16:creationId xmlns:a16="http://schemas.microsoft.com/office/drawing/2014/main" id="{A5AB140B-5EA4-4DEA-8A35-3C3DEC859E3D}"/>
            </a:ext>
          </a:extLst>
        </xdr:cNvPr>
        <xdr:cNvSpPr/>
      </xdr:nvSpPr>
      <xdr:spPr>
        <a:xfrm>
          <a:off x="10586541" y="99752"/>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Saône-et-Loire (71)</a:t>
          </a:r>
        </a:p>
      </xdr:txBody>
    </xdr:sp>
    <xdr:clientData/>
  </xdr:twoCellAnchor>
  <xdr:twoCellAnchor>
    <xdr:from>
      <xdr:col>7</xdr:col>
      <xdr:colOff>346814</xdr:colOff>
      <xdr:row>0</xdr:row>
      <xdr:rowOff>99752</xdr:rowOff>
    </xdr:from>
    <xdr:to>
      <xdr:col>7</xdr:col>
      <xdr:colOff>1966814</xdr:colOff>
      <xdr:row>0</xdr:row>
      <xdr:rowOff>616755</xdr:rowOff>
    </xdr:to>
    <xdr:sp macro="" textlink="">
      <xdr:nvSpPr>
        <xdr:cNvPr id="38" name="Flèche : chevron 37">
          <a:hlinkClick xmlns:r="http://schemas.openxmlformats.org/officeDocument/2006/relationships" r:id="rId9"/>
          <a:extLst>
            <a:ext uri="{FF2B5EF4-FFF2-40B4-BE49-F238E27FC236}">
              <a16:creationId xmlns:a16="http://schemas.microsoft.com/office/drawing/2014/main" id="{8CA351C0-02EB-49A0-93D5-D624EFADF322}"/>
            </a:ext>
          </a:extLst>
        </xdr:cNvPr>
        <xdr:cNvSpPr/>
      </xdr:nvSpPr>
      <xdr:spPr>
        <a:xfrm>
          <a:off x="12062218" y="99752"/>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Yonne (89)</a:t>
          </a:r>
        </a:p>
      </xdr:txBody>
    </xdr:sp>
    <xdr:clientData/>
  </xdr:twoCellAnchor>
  <xdr:twoCellAnchor>
    <xdr:from>
      <xdr:col>7</xdr:col>
      <xdr:colOff>1827813</xdr:colOff>
      <xdr:row>0</xdr:row>
      <xdr:rowOff>99752</xdr:rowOff>
    </xdr:from>
    <xdr:to>
      <xdr:col>8</xdr:col>
      <xdr:colOff>809908</xdr:colOff>
      <xdr:row>0</xdr:row>
      <xdr:rowOff>616755</xdr:rowOff>
    </xdr:to>
    <xdr:sp macro="" textlink="">
      <xdr:nvSpPr>
        <xdr:cNvPr id="39" name="Flèche : chevron 38">
          <a:hlinkClick xmlns:r="http://schemas.openxmlformats.org/officeDocument/2006/relationships" r:id="rId10"/>
          <a:extLst>
            <a:ext uri="{FF2B5EF4-FFF2-40B4-BE49-F238E27FC236}">
              <a16:creationId xmlns:a16="http://schemas.microsoft.com/office/drawing/2014/main" id="{7B15DD27-711C-4B9B-B930-9BFC864EECFB}"/>
            </a:ext>
          </a:extLst>
        </xdr:cNvPr>
        <xdr:cNvSpPr/>
      </xdr:nvSpPr>
      <xdr:spPr>
        <a:xfrm>
          <a:off x="13543217" y="99752"/>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Territoire</a:t>
          </a:r>
          <a:r>
            <a:rPr lang="fr-FR" sz="900" b="1" baseline="0">
              <a:solidFill>
                <a:schemeClr val="tx1"/>
              </a:solidFill>
            </a:rPr>
            <a:t> de Belfort (90)</a:t>
          </a:r>
          <a:endParaRPr lang="fr-FR" sz="900" b="1">
            <a:solidFill>
              <a:schemeClr val="tx1"/>
            </a:solidFill>
          </a:endParaRPr>
        </a:p>
      </xdr:txBody>
    </xdr:sp>
    <xdr:clientData/>
  </xdr:twoCellAnchor>
  <xdr:twoCellAnchor>
    <xdr:from>
      <xdr:col>8</xdr:col>
      <xdr:colOff>676778</xdr:colOff>
      <xdr:row>0</xdr:row>
      <xdr:rowOff>99752</xdr:rowOff>
    </xdr:from>
    <xdr:to>
      <xdr:col>8</xdr:col>
      <xdr:colOff>2296778</xdr:colOff>
      <xdr:row>0</xdr:row>
      <xdr:rowOff>616755</xdr:rowOff>
    </xdr:to>
    <xdr:sp macro="" textlink="">
      <xdr:nvSpPr>
        <xdr:cNvPr id="40" name="Flèche : chevron 39">
          <a:hlinkClick xmlns:r="http://schemas.openxmlformats.org/officeDocument/2006/relationships" r:id="rId11"/>
          <a:extLst>
            <a:ext uri="{FF2B5EF4-FFF2-40B4-BE49-F238E27FC236}">
              <a16:creationId xmlns:a16="http://schemas.microsoft.com/office/drawing/2014/main" id="{28DCD118-795D-4F05-B93D-1218761CDD7A}"/>
            </a:ext>
          </a:extLst>
        </xdr:cNvPr>
        <xdr:cNvSpPr/>
      </xdr:nvSpPr>
      <xdr:spPr>
        <a:xfrm>
          <a:off x="15030087" y="99752"/>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Intervention</a:t>
          </a:r>
          <a:r>
            <a:rPr lang="fr-FR" sz="900" b="1" baseline="0">
              <a:solidFill>
                <a:schemeClr val="tx1"/>
              </a:solidFill>
            </a:rPr>
            <a:t> en Nord-Franche-Comté</a:t>
          </a:r>
          <a:endParaRPr lang="fr-FR" sz="9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90055</xdr:colOff>
      <xdr:row>0</xdr:row>
      <xdr:rowOff>126076</xdr:rowOff>
    </xdr:from>
    <xdr:to>
      <xdr:col>0</xdr:col>
      <xdr:colOff>907635</xdr:colOff>
      <xdr:row>0</xdr:row>
      <xdr:rowOff>636295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E9B04C9-9B4E-4801-8E42-BDA48F4BF838}"/>
            </a:ext>
          </a:extLst>
        </xdr:cNvPr>
        <xdr:cNvSpPr/>
      </xdr:nvSpPr>
      <xdr:spPr>
        <a:xfrm>
          <a:off x="90055" y="126076"/>
          <a:ext cx="817580" cy="51021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t>Retour au sommaire </a:t>
          </a:r>
        </a:p>
      </xdr:txBody>
    </xdr:sp>
    <xdr:clientData/>
  </xdr:twoCellAnchor>
  <xdr:twoCellAnchor>
    <xdr:from>
      <xdr:col>13</xdr:col>
      <xdr:colOff>1971040</xdr:colOff>
      <xdr:row>0</xdr:row>
      <xdr:rowOff>0</xdr:rowOff>
    </xdr:from>
    <xdr:to>
      <xdr:col>14</xdr:col>
      <xdr:colOff>188422</xdr:colOff>
      <xdr:row>0</xdr:row>
      <xdr:rowOff>709353</xdr:rowOff>
    </xdr:to>
    <xdr:sp macro="" textlink="">
      <xdr:nvSpPr>
        <xdr:cNvPr id="3" name="Flèche : pentagone 2">
          <a:extLst>
            <a:ext uri="{FF2B5EF4-FFF2-40B4-BE49-F238E27FC236}">
              <a16:creationId xmlns:a16="http://schemas.microsoft.com/office/drawing/2014/main" id="{82034F40-D861-4BC9-8206-B963D2DFE4F7}"/>
            </a:ext>
          </a:extLst>
        </xdr:cNvPr>
        <xdr:cNvSpPr/>
      </xdr:nvSpPr>
      <xdr:spPr>
        <a:xfrm>
          <a:off x="22849840" y="0"/>
          <a:ext cx="300182" cy="709353"/>
        </a:xfrm>
        <a:prstGeom prst="homePlate">
          <a:avLst/>
        </a:prstGeom>
        <a:solidFill>
          <a:srgbClr val="DCC5ED"/>
        </a:solidFill>
        <a:ln>
          <a:solidFill>
            <a:srgbClr val="DCC5E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40640</xdr:colOff>
      <xdr:row>0</xdr:row>
      <xdr:rowOff>91440</xdr:rowOff>
    </xdr:from>
    <xdr:to>
      <xdr:col>3</xdr:col>
      <xdr:colOff>461760</xdr:colOff>
      <xdr:row>0</xdr:row>
      <xdr:rowOff>608442</xdr:rowOff>
    </xdr:to>
    <xdr:sp macro="" textlink="">
      <xdr:nvSpPr>
        <xdr:cNvPr id="13" name="Flèche : pentagone 12">
          <a:hlinkClick xmlns:r="http://schemas.openxmlformats.org/officeDocument/2006/relationships" r:id="rId2"/>
          <a:extLst>
            <a:ext uri="{FF2B5EF4-FFF2-40B4-BE49-F238E27FC236}">
              <a16:creationId xmlns:a16="http://schemas.microsoft.com/office/drawing/2014/main" id="{88DA60CA-DB41-4060-BD1F-34872D1557B3}"/>
            </a:ext>
          </a:extLst>
        </xdr:cNvPr>
        <xdr:cNvSpPr/>
      </xdr:nvSpPr>
      <xdr:spPr>
        <a:xfrm>
          <a:off x="1625600" y="91440"/>
          <a:ext cx="1620000" cy="517002"/>
        </a:xfrm>
        <a:prstGeom prst="homePlate">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chemeClr val="tx1"/>
              </a:solidFill>
            </a:rPr>
            <a:t>Toutes les structures de</a:t>
          </a:r>
          <a:r>
            <a:rPr lang="fr-FR" sz="1100" b="0" baseline="0">
              <a:solidFill>
                <a:schemeClr val="tx1"/>
              </a:solidFill>
            </a:rPr>
            <a:t> la région</a:t>
          </a:r>
          <a:endParaRPr lang="fr-FR" sz="1100" b="0">
            <a:solidFill>
              <a:schemeClr val="tx1"/>
            </a:solidFill>
          </a:endParaRPr>
        </a:p>
      </xdr:txBody>
    </xdr:sp>
    <xdr:clientData/>
  </xdr:twoCellAnchor>
  <xdr:twoCellAnchor>
    <xdr:from>
      <xdr:col>4</xdr:col>
      <xdr:colOff>684147</xdr:colOff>
      <xdr:row>0</xdr:row>
      <xdr:rowOff>91440</xdr:rowOff>
    </xdr:from>
    <xdr:to>
      <xdr:col>5</xdr:col>
      <xdr:colOff>536307</xdr:colOff>
      <xdr:row>0</xdr:row>
      <xdr:rowOff>608443</xdr:rowOff>
    </xdr:to>
    <xdr:sp macro="" textlink="">
      <xdr:nvSpPr>
        <xdr:cNvPr id="14" name="Flèche : chevron 13">
          <a:hlinkClick xmlns:r="http://schemas.openxmlformats.org/officeDocument/2006/relationships" r:id="rId3"/>
          <a:extLst>
            <a:ext uri="{FF2B5EF4-FFF2-40B4-BE49-F238E27FC236}">
              <a16:creationId xmlns:a16="http://schemas.microsoft.com/office/drawing/2014/main" id="{77B75825-4C69-4C16-A124-843D0932ECB9}"/>
            </a:ext>
          </a:extLst>
        </xdr:cNvPr>
        <xdr:cNvSpPr/>
      </xdr:nvSpPr>
      <xdr:spPr>
        <a:xfrm>
          <a:off x="6099427" y="91440"/>
          <a:ext cx="1620000" cy="517003"/>
        </a:xfrm>
        <a:prstGeom prst="chevron">
          <a:avLst/>
        </a:prstGeom>
        <a:solidFill>
          <a:srgbClr val="B887D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Jura (39)</a:t>
          </a:r>
        </a:p>
      </xdr:txBody>
    </xdr:sp>
    <xdr:clientData/>
  </xdr:twoCellAnchor>
  <xdr:twoCellAnchor>
    <xdr:from>
      <xdr:col>5</xdr:col>
      <xdr:colOff>469615</xdr:colOff>
      <xdr:row>0</xdr:row>
      <xdr:rowOff>91440</xdr:rowOff>
    </xdr:from>
    <xdr:to>
      <xdr:col>6</xdr:col>
      <xdr:colOff>37295</xdr:colOff>
      <xdr:row>0</xdr:row>
      <xdr:rowOff>608443</xdr:rowOff>
    </xdr:to>
    <xdr:sp macro="" textlink="">
      <xdr:nvSpPr>
        <xdr:cNvPr id="15" name="Flèche : chevron 14">
          <a:hlinkClick xmlns:r="http://schemas.openxmlformats.org/officeDocument/2006/relationships" r:id="rId4"/>
          <a:extLst>
            <a:ext uri="{FF2B5EF4-FFF2-40B4-BE49-F238E27FC236}">
              <a16:creationId xmlns:a16="http://schemas.microsoft.com/office/drawing/2014/main" id="{CCE3768B-9CEB-4417-A99D-2E4C0176251C}"/>
            </a:ext>
          </a:extLst>
        </xdr:cNvPr>
        <xdr:cNvSpPr/>
      </xdr:nvSpPr>
      <xdr:spPr>
        <a:xfrm>
          <a:off x="7652735"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Nièvre (58)</a:t>
          </a:r>
          <a:r>
            <a:rPr lang="fr-FR" sz="900">
              <a:solidFill>
                <a:schemeClr val="tx1"/>
              </a:solidFill>
            </a:rPr>
            <a:t> </a:t>
          </a:r>
        </a:p>
      </xdr:txBody>
    </xdr:sp>
    <xdr:clientData/>
  </xdr:twoCellAnchor>
  <xdr:twoCellAnchor>
    <xdr:from>
      <xdr:col>3</xdr:col>
      <xdr:colOff>1850566</xdr:colOff>
      <xdr:row>0</xdr:row>
      <xdr:rowOff>91440</xdr:rowOff>
    </xdr:from>
    <xdr:to>
      <xdr:col>4</xdr:col>
      <xdr:colOff>839126</xdr:colOff>
      <xdr:row>0</xdr:row>
      <xdr:rowOff>608443</xdr:rowOff>
    </xdr:to>
    <xdr:sp macro="" textlink="">
      <xdr:nvSpPr>
        <xdr:cNvPr id="16" name="Flèche : chevron 15">
          <a:hlinkClick xmlns:r="http://schemas.openxmlformats.org/officeDocument/2006/relationships" r:id="rId5"/>
          <a:extLst>
            <a:ext uri="{FF2B5EF4-FFF2-40B4-BE49-F238E27FC236}">
              <a16:creationId xmlns:a16="http://schemas.microsoft.com/office/drawing/2014/main" id="{ACE85F30-F831-48C7-95CA-9AC252AE8680}"/>
            </a:ext>
          </a:extLst>
        </xdr:cNvPr>
        <xdr:cNvSpPr/>
      </xdr:nvSpPr>
      <xdr:spPr>
        <a:xfrm>
          <a:off x="4634406"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effectLst/>
              <a:latin typeface="+mn-lt"/>
              <a:ea typeface="+mn-ea"/>
              <a:cs typeface="+mn-cs"/>
            </a:rPr>
            <a:t>Doubs (25)</a:t>
          </a:r>
          <a:endParaRPr lang="fr-FR" sz="900">
            <a:solidFill>
              <a:schemeClr val="tx1"/>
            </a:solidFill>
            <a:effectLst/>
          </a:endParaRPr>
        </a:p>
      </xdr:txBody>
    </xdr:sp>
    <xdr:clientData/>
  </xdr:twoCellAnchor>
  <xdr:twoCellAnchor>
    <xdr:from>
      <xdr:col>5</xdr:col>
      <xdr:colOff>1953775</xdr:colOff>
      <xdr:row>0</xdr:row>
      <xdr:rowOff>91440</xdr:rowOff>
    </xdr:from>
    <xdr:to>
      <xdr:col>6</xdr:col>
      <xdr:colOff>1521455</xdr:colOff>
      <xdr:row>0</xdr:row>
      <xdr:rowOff>608443</xdr:rowOff>
    </xdr:to>
    <xdr:sp macro="" textlink="">
      <xdr:nvSpPr>
        <xdr:cNvPr id="17" name="Flèche : chevron 16">
          <a:hlinkClick xmlns:r="http://schemas.openxmlformats.org/officeDocument/2006/relationships" r:id="rId6"/>
          <a:extLst>
            <a:ext uri="{FF2B5EF4-FFF2-40B4-BE49-F238E27FC236}">
              <a16:creationId xmlns:a16="http://schemas.microsoft.com/office/drawing/2014/main" id="{728B4506-A5E1-458D-ABA9-48E4F4B11DB4}"/>
            </a:ext>
          </a:extLst>
        </xdr:cNvPr>
        <xdr:cNvSpPr/>
      </xdr:nvSpPr>
      <xdr:spPr>
        <a:xfrm>
          <a:off x="9136895"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Haute-Saône (70)</a:t>
          </a:r>
        </a:p>
      </xdr:txBody>
    </xdr:sp>
    <xdr:clientData/>
  </xdr:twoCellAnchor>
  <xdr:twoCellAnchor>
    <xdr:from>
      <xdr:col>3</xdr:col>
      <xdr:colOff>312279</xdr:colOff>
      <xdr:row>0</xdr:row>
      <xdr:rowOff>91440</xdr:rowOff>
    </xdr:from>
    <xdr:to>
      <xdr:col>3</xdr:col>
      <xdr:colOff>1932279</xdr:colOff>
      <xdr:row>0</xdr:row>
      <xdr:rowOff>608443</xdr:rowOff>
    </xdr:to>
    <xdr:sp macro="" textlink="">
      <xdr:nvSpPr>
        <xdr:cNvPr id="18" name="Flèche : chevron 17">
          <a:hlinkClick xmlns:r="http://schemas.openxmlformats.org/officeDocument/2006/relationships" r:id="rId7"/>
          <a:extLst>
            <a:ext uri="{FF2B5EF4-FFF2-40B4-BE49-F238E27FC236}">
              <a16:creationId xmlns:a16="http://schemas.microsoft.com/office/drawing/2014/main" id="{364E0F4A-7BBE-431A-823A-5DAA3664C83D}"/>
            </a:ext>
          </a:extLst>
        </xdr:cNvPr>
        <xdr:cNvSpPr/>
      </xdr:nvSpPr>
      <xdr:spPr>
        <a:xfrm>
          <a:off x="3096119"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0">
              <a:solidFill>
                <a:schemeClr val="tx1"/>
              </a:solidFill>
            </a:rPr>
            <a:t>Côte-d'Or (21)</a:t>
          </a:r>
        </a:p>
      </xdr:txBody>
    </xdr:sp>
    <xdr:clientData/>
  </xdr:twoCellAnchor>
  <xdr:twoCellAnchor>
    <xdr:from>
      <xdr:col>6</xdr:col>
      <xdr:colOff>1391741</xdr:colOff>
      <xdr:row>0</xdr:row>
      <xdr:rowOff>91440</xdr:rowOff>
    </xdr:from>
    <xdr:to>
      <xdr:col>7</xdr:col>
      <xdr:colOff>857821</xdr:colOff>
      <xdr:row>0</xdr:row>
      <xdr:rowOff>608443</xdr:rowOff>
    </xdr:to>
    <xdr:sp macro="" textlink="">
      <xdr:nvSpPr>
        <xdr:cNvPr id="19" name="Flèche : chevron 18">
          <a:hlinkClick xmlns:r="http://schemas.openxmlformats.org/officeDocument/2006/relationships" r:id="rId8"/>
          <a:extLst>
            <a:ext uri="{FF2B5EF4-FFF2-40B4-BE49-F238E27FC236}">
              <a16:creationId xmlns:a16="http://schemas.microsoft.com/office/drawing/2014/main" id="{327E744E-FEA3-49F6-8990-C6E0415AC00C}"/>
            </a:ext>
          </a:extLst>
        </xdr:cNvPr>
        <xdr:cNvSpPr/>
      </xdr:nvSpPr>
      <xdr:spPr>
        <a:xfrm>
          <a:off x="10627181"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Saône-et-Loire (71)</a:t>
          </a:r>
        </a:p>
      </xdr:txBody>
    </xdr:sp>
    <xdr:clientData/>
  </xdr:twoCellAnchor>
  <xdr:twoCellAnchor>
    <xdr:from>
      <xdr:col>7</xdr:col>
      <xdr:colOff>713498</xdr:colOff>
      <xdr:row>0</xdr:row>
      <xdr:rowOff>91440</xdr:rowOff>
    </xdr:from>
    <xdr:to>
      <xdr:col>8</xdr:col>
      <xdr:colOff>941578</xdr:colOff>
      <xdr:row>0</xdr:row>
      <xdr:rowOff>608443</xdr:rowOff>
    </xdr:to>
    <xdr:sp macro="" textlink="">
      <xdr:nvSpPr>
        <xdr:cNvPr id="20" name="Flèche : chevron 19">
          <a:hlinkClick xmlns:r="http://schemas.openxmlformats.org/officeDocument/2006/relationships" r:id="rId9"/>
          <a:extLst>
            <a:ext uri="{FF2B5EF4-FFF2-40B4-BE49-F238E27FC236}">
              <a16:creationId xmlns:a16="http://schemas.microsoft.com/office/drawing/2014/main" id="{55AAA417-9084-498D-8E5C-A3DE387ECA06}"/>
            </a:ext>
          </a:extLst>
        </xdr:cNvPr>
        <xdr:cNvSpPr/>
      </xdr:nvSpPr>
      <xdr:spPr>
        <a:xfrm>
          <a:off x="12102858"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Yonne (89)</a:t>
          </a:r>
        </a:p>
      </xdr:txBody>
    </xdr:sp>
    <xdr:clientData/>
  </xdr:twoCellAnchor>
  <xdr:twoCellAnchor>
    <xdr:from>
      <xdr:col>8</xdr:col>
      <xdr:colOff>802577</xdr:colOff>
      <xdr:row>0</xdr:row>
      <xdr:rowOff>91440</xdr:rowOff>
    </xdr:from>
    <xdr:to>
      <xdr:col>8</xdr:col>
      <xdr:colOff>2422577</xdr:colOff>
      <xdr:row>0</xdr:row>
      <xdr:rowOff>608443</xdr:rowOff>
    </xdr:to>
    <xdr:sp macro="" textlink="">
      <xdr:nvSpPr>
        <xdr:cNvPr id="21" name="Flèche : chevron 20">
          <a:hlinkClick xmlns:r="http://schemas.openxmlformats.org/officeDocument/2006/relationships" r:id="rId10"/>
          <a:extLst>
            <a:ext uri="{FF2B5EF4-FFF2-40B4-BE49-F238E27FC236}">
              <a16:creationId xmlns:a16="http://schemas.microsoft.com/office/drawing/2014/main" id="{A8EE9E22-5367-4D98-9E51-A14EB9F9B691}"/>
            </a:ext>
          </a:extLst>
        </xdr:cNvPr>
        <xdr:cNvSpPr/>
      </xdr:nvSpPr>
      <xdr:spPr>
        <a:xfrm>
          <a:off x="13583857"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Territoire</a:t>
          </a:r>
          <a:r>
            <a:rPr lang="fr-FR" sz="900" b="1" baseline="0">
              <a:solidFill>
                <a:schemeClr val="tx1"/>
              </a:solidFill>
            </a:rPr>
            <a:t> de Belfort (90)</a:t>
          </a:r>
          <a:endParaRPr lang="fr-FR" sz="900" b="1">
            <a:solidFill>
              <a:schemeClr val="tx1"/>
            </a:solidFill>
          </a:endParaRPr>
        </a:p>
      </xdr:txBody>
    </xdr:sp>
    <xdr:clientData/>
  </xdr:twoCellAnchor>
  <xdr:twoCellAnchor>
    <xdr:from>
      <xdr:col>8</xdr:col>
      <xdr:colOff>2289447</xdr:colOff>
      <xdr:row>0</xdr:row>
      <xdr:rowOff>91440</xdr:rowOff>
    </xdr:from>
    <xdr:to>
      <xdr:col>9</xdr:col>
      <xdr:colOff>1481207</xdr:colOff>
      <xdr:row>0</xdr:row>
      <xdr:rowOff>608443</xdr:rowOff>
    </xdr:to>
    <xdr:sp macro="" textlink="">
      <xdr:nvSpPr>
        <xdr:cNvPr id="22" name="Flèche : chevron 21">
          <a:hlinkClick xmlns:r="http://schemas.openxmlformats.org/officeDocument/2006/relationships" r:id="rId11"/>
          <a:extLst>
            <a:ext uri="{FF2B5EF4-FFF2-40B4-BE49-F238E27FC236}">
              <a16:creationId xmlns:a16="http://schemas.microsoft.com/office/drawing/2014/main" id="{AF559054-6BB4-4921-81CB-887D98CA69D4}"/>
            </a:ext>
          </a:extLst>
        </xdr:cNvPr>
        <xdr:cNvSpPr/>
      </xdr:nvSpPr>
      <xdr:spPr>
        <a:xfrm>
          <a:off x="15070727"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Intervention</a:t>
          </a:r>
          <a:r>
            <a:rPr lang="fr-FR" sz="900" b="1" baseline="0">
              <a:solidFill>
                <a:schemeClr val="tx1"/>
              </a:solidFill>
            </a:rPr>
            <a:t> en Nord-Franche-Comté</a:t>
          </a:r>
          <a:endParaRPr lang="fr-FR" sz="900" b="1">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90055</xdr:colOff>
      <xdr:row>0</xdr:row>
      <xdr:rowOff>126076</xdr:rowOff>
    </xdr:from>
    <xdr:to>
      <xdr:col>0</xdr:col>
      <xdr:colOff>907635</xdr:colOff>
      <xdr:row>0</xdr:row>
      <xdr:rowOff>636295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1A03DBA-F46C-462D-8B3D-3380F7CF1F05}"/>
            </a:ext>
          </a:extLst>
        </xdr:cNvPr>
        <xdr:cNvSpPr/>
      </xdr:nvSpPr>
      <xdr:spPr>
        <a:xfrm>
          <a:off x="90055" y="126076"/>
          <a:ext cx="817580" cy="51021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t>Retour au sommaire </a:t>
          </a:r>
        </a:p>
      </xdr:txBody>
    </xdr:sp>
    <xdr:clientData/>
  </xdr:twoCellAnchor>
  <xdr:twoCellAnchor>
    <xdr:from>
      <xdr:col>13</xdr:col>
      <xdr:colOff>2306320</xdr:colOff>
      <xdr:row>0</xdr:row>
      <xdr:rowOff>0</xdr:rowOff>
    </xdr:from>
    <xdr:to>
      <xdr:col>14</xdr:col>
      <xdr:colOff>188422</xdr:colOff>
      <xdr:row>0</xdr:row>
      <xdr:rowOff>709353</xdr:rowOff>
    </xdr:to>
    <xdr:sp macro="" textlink="">
      <xdr:nvSpPr>
        <xdr:cNvPr id="3" name="Flèche : pentagone 2">
          <a:extLst>
            <a:ext uri="{FF2B5EF4-FFF2-40B4-BE49-F238E27FC236}">
              <a16:creationId xmlns:a16="http://schemas.microsoft.com/office/drawing/2014/main" id="{F7752394-370F-4A2D-993A-9152DDF362F9}"/>
            </a:ext>
          </a:extLst>
        </xdr:cNvPr>
        <xdr:cNvSpPr/>
      </xdr:nvSpPr>
      <xdr:spPr>
        <a:xfrm>
          <a:off x="19832320" y="0"/>
          <a:ext cx="310342" cy="709353"/>
        </a:xfrm>
        <a:prstGeom prst="homePlate">
          <a:avLst/>
        </a:prstGeom>
        <a:solidFill>
          <a:srgbClr val="DCC5ED"/>
        </a:solidFill>
        <a:ln>
          <a:solidFill>
            <a:srgbClr val="DCC5E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71120</xdr:colOff>
      <xdr:row>0</xdr:row>
      <xdr:rowOff>71120</xdr:rowOff>
    </xdr:from>
    <xdr:to>
      <xdr:col>3</xdr:col>
      <xdr:colOff>492240</xdr:colOff>
      <xdr:row>0</xdr:row>
      <xdr:rowOff>588122</xdr:rowOff>
    </xdr:to>
    <xdr:sp macro="" textlink="">
      <xdr:nvSpPr>
        <xdr:cNvPr id="13" name="Flèche : pentagone 12">
          <a:hlinkClick xmlns:r="http://schemas.openxmlformats.org/officeDocument/2006/relationships" r:id="rId2"/>
          <a:extLst>
            <a:ext uri="{FF2B5EF4-FFF2-40B4-BE49-F238E27FC236}">
              <a16:creationId xmlns:a16="http://schemas.microsoft.com/office/drawing/2014/main" id="{2EC08DDC-D5CE-42B7-ABC0-0D1368B85533}"/>
            </a:ext>
          </a:extLst>
        </xdr:cNvPr>
        <xdr:cNvSpPr/>
      </xdr:nvSpPr>
      <xdr:spPr>
        <a:xfrm>
          <a:off x="1656080" y="71120"/>
          <a:ext cx="1620000" cy="517002"/>
        </a:xfrm>
        <a:prstGeom prst="homePlate">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chemeClr val="tx1"/>
              </a:solidFill>
            </a:rPr>
            <a:t>Toutes les structures de</a:t>
          </a:r>
          <a:r>
            <a:rPr lang="fr-FR" sz="1100" b="0" baseline="0">
              <a:solidFill>
                <a:schemeClr val="tx1"/>
              </a:solidFill>
            </a:rPr>
            <a:t> la région</a:t>
          </a:r>
          <a:endParaRPr lang="fr-FR" sz="1100" b="0">
            <a:solidFill>
              <a:schemeClr val="tx1"/>
            </a:solidFill>
          </a:endParaRPr>
        </a:p>
      </xdr:txBody>
    </xdr:sp>
    <xdr:clientData/>
  </xdr:twoCellAnchor>
  <xdr:twoCellAnchor>
    <xdr:from>
      <xdr:col>4</xdr:col>
      <xdr:colOff>714627</xdr:colOff>
      <xdr:row>0</xdr:row>
      <xdr:rowOff>71120</xdr:rowOff>
    </xdr:from>
    <xdr:to>
      <xdr:col>5</xdr:col>
      <xdr:colOff>566787</xdr:colOff>
      <xdr:row>0</xdr:row>
      <xdr:rowOff>588123</xdr:rowOff>
    </xdr:to>
    <xdr:sp macro="" textlink="">
      <xdr:nvSpPr>
        <xdr:cNvPr id="14" name="Flèche : chevron 13">
          <a:hlinkClick xmlns:r="http://schemas.openxmlformats.org/officeDocument/2006/relationships" r:id="rId3"/>
          <a:extLst>
            <a:ext uri="{FF2B5EF4-FFF2-40B4-BE49-F238E27FC236}">
              <a16:creationId xmlns:a16="http://schemas.microsoft.com/office/drawing/2014/main" id="{653B935C-0215-41E6-AFAB-255CC4B467AC}"/>
            </a:ext>
          </a:extLst>
        </xdr:cNvPr>
        <xdr:cNvSpPr/>
      </xdr:nvSpPr>
      <xdr:spPr>
        <a:xfrm>
          <a:off x="6129907" y="7112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Jura (39)</a:t>
          </a:r>
        </a:p>
      </xdr:txBody>
    </xdr:sp>
    <xdr:clientData/>
  </xdr:twoCellAnchor>
  <xdr:twoCellAnchor>
    <xdr:from>
      <xdr:col>5</xdr:col>
      <xdr:colOff>500095</xdr:colOff>
      <xdr:row>0</xdr:row>
      <xdr:rowOff>71120</xdr:rowOff>
    </xdr:from>
    <xdr:to>
      <xdr:col>6</xdr:col>
      <xdr:colOff>565615</xdr:colOff>
      <xdr:row>0</xdr:row>
      <xdr:rowOff>588123</xdr:rowOff>
    </xdr:to>
    <xdr:sp macro="" textlink="">
      <xdr:nvSpPr>
        <xdr:cNvPr id="15" name="Flèche : chevron 14">
          <a:hlinkClick xmlns:r="http://schemas.openxmlformats.org/officeDocument/2006/relationships" r:id="rId4"/>
          <a:extLst>
            <a:ext uri="{FF2B5EF4-FFF2-40B4-BE49-F238E27FC236}">
              <a16:creationId xmlns:a16="http://schemas.microsoft.com/office/drawing/2014/main" id="{8BA08B99-F263-4A7F-86AE-C0E3EAF45117}"/>
            </a:ext>
          </a:extLst>
        </xdr:cNvPr>
        <xdr:cNvSpPr/>
      </xdr:nvSpPr>
      <xdr:spPr>
        <a:xfrm>
          <a:off x="7683215" y="71120"/>
          <a:ext cx="1620000" cy="517003"/>
        </a:xfrm>
        <a:prstGeom prst="chevron">
          <a:avLst/>
        </a:prstGeom>
        <a:solidFill>
          <a:srgbClr val="B887D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Nièvre (58)</a:t>
          </a:r>
          <a:r>
            <a:rPr lang="fr-FR" sz="900">
              <a:solidFill>
                <a:schemeClr val="tx1"/>
              </a:solidFill>
            </a:rPr>
            <a:t> </a:t>
          </a:r>
        </a:p>
      </xdr:txBody>
    </xdr:sp>
    <xdr:clientData/>
  </xdr:twoCellAnchor>
  <xdr:twoCellAnchor>
    <xdr:from>
      <xdr:col>3</xdr:col>
      <xdr:colOff>1881046</xdr:colOff>
      <xdr:row>0</xdr:row>
      <xdr:rowOff>71120</xdr:rowOff>
    </xdr:from>
    <xdr:to>
      <xdr:col>4</xdr:col>
      <xdr:colOff>869606</xdr:colOff>
      <xdr:row>0</xdr:row>
      <xdr:rowOff>588123</xdr:rowOff>
    </xdr:to>
    <xdr:sp macro="" textlink="">
      <xdr:nvSpPr>
        <xdr:cNvPr id="16" name="Flèche : chevron 15">
          <a:hlinkClick xmlns:r="http://schemas.openxmlformats.org/officeDocument/2006/relationships" r:id="rId5"/>
          <a:extLst>
            <a:ext uri="{FF2B5EF4-FFF2-40B4-BE49-F238E27FC236}">
              <a16:creationId xmlns:a16="http://schemas.microsoft.com/office/drawing/2014/main" id="{73E34208-DB70-4D14-8AA3-54F344B0B829}"/>
            </a:ext>
          </a:extLst>
        </xdr:cNvPr>
        <xdr:cNvSpPr/>
      </xdr:nvSpPr>
      <xdr:spPr>
        <a:xfrm>
          <a:off x="4664886" y="7112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effectLst/>
              <a:latin typeface="+mn-lt"/>
              <a:ea typeface="+mn-ea"/>
              <a:cs typeface="+mn-cs"/>
            </a:rPr>
            <a:t>Doubs (25)</a:t>
          </a:r>
          <a:endParaRPr lang="fr-FR" sz="900">
            <a:solidFill>
              <a:schemeClr val="tx1"/>
            </a:solidFill>
            <a:effectLst/>
          </a:endParaRPr>
        </a:p>
      </xdr:txBody>
    </xdr:sp>
    <xdr:clientData/>
  </xdr:twoCellAnchor>
  <xdr:twoCellAnchor>
    <xdr:from>
      <xdr:col>6</xdr:col>
      <xdr:colOff>429775</xdr:colOff>
      <xdr:row>0</xdr:row>
      <xdr:rowOff>71120</xdr:rowOff>
    </xdr:from>
    <xdr:to>
      <xdr:col>6</xdr:col>
      <xdr:colOff>2049775</xdr:colOff>
      <xdr:row>0</xdr:row>
      <xdr:rowOff>588123</xdr:rowOff>
    </xdr:to>
    <xdr:sp macro="" textlink="">
      <xdr:nvSpPr>
        <xdr:cNvPr id="17" name="Flèche : chevron 16">
          <a:hlinkClick xmlns:r="http://schemas.openxmlformats.org/officeDocument/2006/relationships" r:id="rId6"/>
          <a:extLst>
            <a:ext uri="{FF2B5EF4-FFF2-40B4-BE49-F238E27FC236}">
              <a16:creationId xmlns:a16="http://schemas.microsoft.com/office/drawing/2014/main" id="{A7FF6284-5533-4DC1-A3E7-B67C4E0F87B3}"/>
            </a:ext>
          </a:extLst>
        </xdr:cNvPr>
        <xdr:cNvSpPr/>
      </xdr:nvSpPr>
      <xdr:spPr>
        <a:xfrm>
          <a:off x="9167375" y="7112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Haute-Saône (70)</a:t>
          </a:r>
        </a:p>
      </xdr:txBody>
    </xdr:sp>
    <xdr:clientData/>
  </xdr:twoCellAnchor>
  <xdr:twoCellAnchor>
    <xdr:from>
      <xdr:col>3</xdr:col>
      <xdr:colOff>342759</xdr:colOff>
      <xdr:row>0</xdr:row>
      <xdr:rowOff>71120</xdr:rowOff>
    </xdr:from>
    <xdr:to>
      <xdr:col>3</xdr:col>
      <xdr:colOff>1962759</xdr:colOff>
      <xdr:row>0</xdr:row>
      <xdr:rowOff>588123</xdr:rowOff>
    </xdr:to>
    <xdr:sp macro="" textlink="">
      <xdr:nvSpPr>
        <xdr:cNvPr id="18" name="Flèche : chevron 17">
          <a:hlinkClick xmlns:r="http://schemas.openxmlformats.org/officeDocument/2006/relationships" r:id="rId7"/>
          <a:extLst>
            <a:ext uri="{FF2B5EF4-FFF2-40B4-BE49-F238E27FC236}">
              <a16:creationId xmlns:a16="http://schemas.microsoft.com/office/drawing/2014/main" id="{8D8C08B6-2E6E-45BE-8CF7-A0658ECEC41D}"/>
            </a:ext>
          </a:extLst>
        </xdr:cNvPr>
        <xdr:cNvSpPr/>
      </xdr:nvSpPr>
      <xdr:spPr>
        <a:xfrm>
          <a:off x="3126599" y="7112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0">
              <a:solidFill>
                <a:schemeClr val="tx1"/>
              </a:solidFill>
            </a:rPr>
            <a:t>Côte-d'Or (21)</a:t>
          </a:r>
        </a:p>
      </xdr:txBody>
    </xdr:sp>
    <xdr:clientData/>
  </xdr:twoCellAnchor>
  <xdr:twoCellAnchor>
    <xdr:from>
      <xdr:col>6</xdr:col>
      <xdr:colOff>1920061</xdr:colOff>
      <xdr:row>0</xdr:row>
      <xdr:rowOff>71120</xdr:rowOff>
    </xdr:from>
    <xdr:to>
      <xdr:col>7</xdr:col>
      <xdr:colOff>1386141</xdr:colOff>
      <xdr:row>0</xdr:row>
      <xdr:rowOff>588123</xdr:rowOff>
    </xdr:to>
    <xdr:sp macro="" textlink="">
      <xdr:nvSpPr>
        <xdr:cNvPr id="19" name="Flèche : chevron 18">
          <a:hlinkClick xmlns:r="http://schemas.openxmlformats.org/officeDocument/2006/relationships" r:id="rId8"/>
          <a:extLst>
            <a:ext uri="{FF2B5EF4-FFF2-40B4-BE49-F238E27FC236}">
              <a16:creationId xmlns:a16="http://schemas.microsoft.com/office/drawing/2014/main" id="{BD0D44A1-156F-4B41-B26C-FA9392951917}"/>
            </a:ext>
          </a:extLst>
        </xdr:cNvPr>
        <xdr:cNvSpPr/>
      </xdr:nvSpPr>
      <xdr:spPr>
        <a:xfrm>
          <a:off x="10657661" y="7112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Saône-et-Loire (71)</a:t>
          </a:r>
        </a:p>
      </xdr:txBody>
    </xdr:sp>
    <xdr:clientData/>
  </xdr:twoCellAnchor>
  <xdr:twoCellAnchor>
    <xdr:from>
      <xdr:col>7</xdr:col>
      <xdr:colOff>1241818</xdr:colOff>
      <xdr:row>0</xdr:row>
      <xdr:rowOff>71120</xdr:rowOff>
    </xdr:from>
    <xdr:to>
      <xdr:col>8</xdr:col>
      <xdr:colOff>1469898</xdr:colOff>
      <xdr:row>0</xdr:row>
      <xdr:rowOff>588123</xdr:rowOff>
    </xdr:to>
    <xdr:sp macro="" textlink="">
      <xdr:nvSpPr>
        <xdr:cNvPr id="20" name="Flèche : chevron 19">
          <a:hlinkClick xmlns:r="http://schemas.openxmlformats.org/officeDocument/2006/relationships" r:id="rId9"/>
          <a:extLst>
            <a:ext uri="{FF2B5EF4-FFF2-40B4-BE49-F238E27FC236}">
              <a16:creationId xmlns:a16="http://schemas.microsoft.com/office/drawing/2014/main" id="{770CEB9A-42FA-465E-984B-29AFCC160888}"/>
            </a:ext>
          </a:extLst>
        </xdr:cNvPr>
        <xdr:cNvSpPr/>
      </xdr:nvSpPr>
      <xdr:spPr>
        <a:xfrm>
          <a:off x="12133338" y="7112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Yonne (89)</a:t>
          </a:r>
        </a:p>
      </xdr:txBody>
    </xdr:sp>
    <xdr:clientData/>
  </xdr:twoCellAnchor>
  <xdr:twoCellAnchor>
    <xdr:from>
      <xdr:col>8</xdr:col>
      <xdr:colOff>1330897</xdr:colOff>
      <xdr:row>0</xdr:row>
      <xdr:rowOff>71120</xdr:rowOff>
    </xdr:from>
    <xdr:to>
      <xdr:col>9</xdr:col>
      <xdr:colOff>522657</xdr:colOff>
      <xdr:row>0</xdr:row>
      <xdr:rowOff>588123</xdr:rowOff>
    </xdr:to>
    <xdr:sp macro="" textlink="">
      <xdr:nvSpPr>
        <xdr:cNvPr id="21" name="Flèche : chevron 20">
          <a:hlinkClick xmlns:r="http://schemas.openxmlformats.org/officeDocument/2006/relationships" r:id="rId10"/>
          <a:extLst>
            <a:ext uri="{FF2B5EF4-FFF2-40B4-BE49-F238E27FC236}">
              <a16:creationId xmlns:a16="http://schemas.microsoft.com/office/drawing/2014/main" id="{19CCAE31-8A19-4477-8A93-EA874C22D752}"/>
            </a:ext>
          </a:extLst>
        </xdr:cNvPr>
        <xdr:cNvSpPr/>
      </xdr:nvSpPr>
      <xdr:spPr>
        <a:xfrm>
          <a:off x="13614337" y="7112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Territoire</a:t>
          </a:r>
          <a:r>
            <a:rPr lang="fr-FR" sz="900" b="1" baseline="0">
              <a:solidFill>
                <a:schemeClr val="tx1"/>
              </a:solidFill>
            </a:rPr>
            <a:t> de Belfort (90)</a:t>
          </a:r>
          <a:endParaRPr lang="fr-FR" sz="900" b="1">
            <a:solidFill>
              <a:schemeClr val="tx1"/>
            </a:solidFill>
          </a:endParaRPr>
        </a:p>
      </xdr:txBody>
    </xdr:sp>
    <xdr:clientData/>
  </xdr:twoCellAnchor>
  <xdr:twoCellAnchor>
    <xdr:from>
      <xdr:col>9</xdr:col>
      <xdr:colOff>389527</xdr:colOff>
      <xdr:row>0</xdr:row>
      <xdr:rowOff>71120</xdr:rowOff>
    </xdr:from>
    <xdr:to>
      <xdr:col>10</xdr:col>
      <xdr:colOff>526167</xdr:colOff>
      <xdr:row>0</xdr:row>
      <xdr:rowOff>588123</xdr:rowOff>
    </xdr:to>
    <xdr:sp macro="" textlink="">
      <xdr:nvSpPr>
        <xdr:cNvPr id="22" name="Flèche : chevron 21">
          <a:hlinkClick xmlns:r="http://schemas.openxmlformats.org/officeDocument/2006/relationships" r:id="rId11"/>
          <a:extLst>
            <a:ext uri="{FF2B5EF4-FFF2-40B4-BE49-F238E27FC236}">
              <a16:creationId xmlns:a16="http://schemas.microsoft.com/office/drawing/2014/main" id="{871A54E2-D228-422C-9C8D-4E914201675D}"/>
            </a:ext>
          </a:extLst>
        </xdr:cNvPr>
        <xdr:cNvSpPr/>
      </xdr:nvSpPr>
      <xdr:spPr>
        <a:xfrm>
          <a:off x="15101207" y="7112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Intervention</a:t>
          </a:r>
          <a:r>
            <a:rPr lang="fr-FR" sz="900" b="1" baseline="0">
              <a:solidFill>
                <a:schemeClr val="tx1"/>
              </a:solidFill>
            </a:rPr>
            <a:t> en Nord-Franche-Comté</a:t>
          </a:r>
          <a:endParaRPr lang="fr-FR" sz="900" b="1">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90055</xdr:colOff>
      <xdr:row>0</xdr:row>
      <xdr:rowOff>126076</xdr:rowOff>
    </xdr:from>
    <xdr:to>
      <xdr:col>0</xdr:col>
      <xdr:colOff>907635</xdr:colOff>
      <xdr:row>0</xdr:row>
      <xdr:rowOff>636295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32E2E2A-8386-4AEA-9D91-53A1E19F3479}"/>
            </a:ext>
          </a:extLst>
        </xdr:cNvPr>
        <xdr:cNvSpPr/>
      </xdr:nvSpPr>
      <xdr:spPr>
        <a:xfrm>
          <a:off x="90055" y="126076"/>
          <a:ext cx="817580" cy="51021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t>Retour au sommaire </a:t>
          </a:r>
        </a:p>
      </xdr:txBody>
    </xdr:sp>
    <xdr:clientData/>
  </xdr:twoCellAnchor>
  <xdr:twoCellAnchor>
    <xdr:from>
      <xdr:col>13</xdr:col>
      <xdr:colOff>1899920</xdr:colOff>
      <xdr:row>0</xdr:row>
      <xdr:rowOff>0</xdr:rowOff>
    </xdr:from>
    <xdr:to>
      <xdr:col>14</xdr:col>
      <xdr:colOff>188422</xdr:colOff>
      <xdr:row>0</xdr:row>
      <xdr:rowOff>709353</xdr:rowOff>
    </xdr:to>
    <xdr:sp macro="" textlink="">
      <xdr:nvSpPr>
        <xdr:cNvPr id="3" name="Flèche : pentagone 2">
          <a:extLst>
            <a:ext uri="{FF2B5EF4-FFF2-40B4-BE49-F238E27FC236}">
              <a16:creationId xmlns:a16="http://schemas.microsoft.com/office/drawing/2014/main" id="{48E32A7B-80C3-4517-A8CA-13B9CA5336FA}"/>
            </a:ext>
          </a:extLst>
        </xdr:cNvPr>
        <xdr:cNvSpPr/>
      </xdr:nvSpPr>
      <xdr:spPr>
        <a:xfrm>
          <a:off x="22778720" y="0"/>
          <a:ext cx="310342" cy="709353"/>
        </a:xfrm>
        <a:prstGeom prst="homePlate">
          <a:avLst/>
        </a:prstGeom>
        <a:solidFill>
          <a:srgbClr val="DCC5ED"/>
        </a:solidFill>
        <a:ln>
          <a:solidFill>
            <a:srgbClr val="DCC5E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10160</xdr:colOff>
      <xdr:row>0</xdr:row>
      <xdr:rowOff>91440</xdr:rowOff>
    </xdr:from>
    <xdr:to>
      <xdr:col>3</xdr:col>
      <xdr:colOff>431280</xdr:colOff>
      <xdr:row>0</xdr:row>
      <xdr:rowOff>608442</xdr:rowOff>
    </xdr:to>
    <xdr:sp macro="" textlink="">
      <xdr:nvSpPr>
        <xdr:cNvPr id="28" name="Flèche : pentagone 27">
          <a:hlinkClick xmlns:r="http://schemas.openxmlformats.org/officeDocument/2006/relationships" r:id="rId2"/>
          <a:extLst>
            <a:ext uri="{FF2B5EF4-FFF2-40B4-BE49-F238E27FC236}">
              <a16:creationId xmlns:a16="http://schemas.microsoft.com/office/drawing/2014/main" id="{06D54CFA-108E-4205-8E52-5632330F1FED}"/>
            </a:ext>
          </a:extLst>
        </xdr:cNvPr>
        <xdr:cNvSpPr/>
      </xdr:nvSpPr>
      <xdr:spPr>
        <a:xfrm>
          <a:off x="1595120" y="91440"/>
          <a:ext cx="1620000" cy="517002"/>
        </a:xfrm>
        <a:prstGeom prst="homePlate">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chemeClr val="tx1"/>
              </a:solidFill>
            </a:rPr>
            <a:t>Toutes les structures de</a:t>
          </a:r>
          <a:r>
            <a:rPr lang="fr-FR" sz="1100" b="0" baseline="0">
              <a:solidFill>
                <a:schemeClr val="tx1"/>
              </a:solidFill>
            </a:rPr>
            <a:t> la région</a:t>
          </a:r>
          <a:endParaRPr lang="fr-FR" sz="1100" b="0">
            <a:solidFill>
              <a:schemeClr val="tx1"/>
            </a:solidFill>
          </a:endParaRPr>
        </a:p>
      </xdr:txBody>
    </xdr:sp>
    <xdr:clientData/>
  </xdr:twoCellAnchor>
  <xdr:twoCellAnchor>
    <xdr:from>
      <xdr:col>4</xdr:col>
      <xdr:colOff>653667</xdr:colOff>
      <xdr:row>0</xdr:row>
      <xdr:rowOff>91440</xdr:rowOff>
    </xdr:from>
    <xdr:to>
      <xdr:col>5</xdr:col>
      <xdr:colOff>505827</xdr:colOff>
      <xdr:row>0</xdr:row>
      <xdr:rowOff>608443</xdr:rowOff>
    </xdr:to>
    <xdr:sp macro="" textlink="">
      <xdr:nvSpPr>
        <xdr:cNvPr id="29" name="Flèche : chevron 28">
          <a:hlinkClick xmlns:r="http://schemas.openxmlformats.org/officeDocument/2006/relationships" r:id="rId3"/>
          <a:extLst>
            <a:ext uri="{FF2B5EF4-FFF2-40B4-BE49-F238E27FC236}">
              <a16:creationId xmlns:a16="http://schemas.microsoft.com/office/drawing/2014/main" id="{F19A10C3-D5D9-4002-91AB-AC6901C1C586}"/>
            </a:ext>
          </a:extLst>
        </xdr:cNvPr>
        <xdr:cNvSpPr/>
      </xdr:nvSpPr>
      <xdr:spPr>
        <a:xfrm>
          <a:off x="6068947"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Jura (39)</a:t>
          </a:r>
        </a:p>
      </xdr:txBody>
    </xdr:sp>
    <xdr:clientData/>
  </xdr:twoCellAnchor>
  <xdr:twoCellAnchor>
    <xdr:from>
      <xdr:col>5</xdr:col>
      <xdr:colOff>439135</xdr:colOff>
      <xdr:row>0</xdr:row>
      <xdr:rowOff>91440</xdr:rowOff>
    </xdr:from>
    <xdr:to>
      <xdr:col>5</xdr:col>
      <xdr:colOff>2059135</xdr:colOff>
      <xdr:row>0</xdr:row>
      <xdr:rowOff>608443</xdr:rowOff>
    </xdr:to>
    <xdr:sp macro="" textlink="">
      <xdr:nvSpPr>
        <xdr:cNvPr id="30" name="Flèche : chevron 29">
          <a:hlinkClick xmlns:r="http://schemas.openxmlformats.org/officeDocument/2006/relationships" r:id="rId4"/>
          <a:extLst>
            <a:ext uri="{FF2B5EF4-FFF2-40B4-BE49-F238E27FC236}">
              <a16:creationId xmlns:a16="http://schemas.microsoft.com/office/drawing/2014/main" id="{CAF40383-3D06-4ABB-BE02-8A01FA6ACD22}"/>
            </a:ext>
          </a:extLst>
        </xdr:cNvPr>
        <xdr:cNvSpPr/>
      </xdr:nvSpPr>
      <xdr:spPr>
        <a:xfrm>
          <a:off x="7622255"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Nièvre (58)</a:t>
          </a:r>
          <a:r>
            <a:rPr lang="fr-FR" sz="900">
              <a:solidFill>
                <a:schemeClr val="tx1"/>
              </a:solidFill>
            </a:rPr>
            <a:t> </a:t>
          </a:r>
        </a:p>
      </xdr:txBody>
    </xdr:sp>
    <xdr:clientData/>
  </xdr:twoCellAnchor>
  <xdr:twoCellAnchor>
    <xdr:from>
      <xdr:col>3</xdr:col>
      <xdr:colOff>1820086</xdr:colOff>
      <xdr:row>0</xdr:row>
      <xdr:rowOff>91440</xdr:rowOff>
    </xdr:from>
    <xdr:to>
      <xdr:col>4</xdr:col>
      <xdr:colOff>808646</xdr:colOff>
      <xdr:row>0</xdr:row>
      <xdr:rowOff>608443</xdr:rowOff>
    </xdr:to>
    <xdr:sp macro="" textlink="">
      <xdr:nvSpPr>
        <xdr:cNvPr id="31" name="Flèche : chevron 30">
          <a:hlinkClick xmlns:r="http://schemas.openxmlformats.org/officeDocument/2006/relationships" r:id="rId5"/>
          <a:extLst>
            <a:ext uri="{FF2B5EF4-FFF2-40B4-BE49-F238E27FC236}">
              <a16:creationId xmlns:a16="http://schemas.microsoft.com/office/drawing/2014/main" id="{DF661B68-DF10-402F-A9C7-191C06A064DB}"/>
            </a:ext>
          </a:extLst>
        </xdr:cNvPr>
        <xdr:cNvSpPr/>
      </xdr:nvSpPr>
      <xdr:spPr>
        <a:xfrm>
          <a:off x="4603926" y="91440"/>
          <a:ext cx="1620000" cy="517003"/>
        </a:xfrm>
        <a:prstGeom prst="chevron">
          <a:avLst/>
        </a:prstGeom>
        <a:solidFill>
          <a:srgbClr val="B887D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effectLst/>
              <a:latin typeface="+mn-lt"/>
              <a:ea typeface="+mn-ea"/>
              <a:cs typeface="+mn-cs"/>
            </a:rPr>
            <a:t>Doubs (25)</a:t>
          </a:r>
          <a:endParaRPr lang="fr-FR" sz="900">
            <a:solidFill>
              <a:schemeClr val="tx1"/>
            </a:solidFill>
            <a:effectLst/>
          </a:endParaRPr>
        </a:p>
      </xdr:txBody>
    </xdr:sp>
    <xdr:clientData/>
  </xdr:twoCellAnchor>
  <xdr:twoCellAnchor>
    <xdr:from>
      <xdr:col>5</xdr:col>
      <xdr:colOff>1923295</xdr:colOff>
      <xdr:row>0</xdr:row>
      <xdr:rowOff>91440</xdr:rowOff>
    </xdr:from>
    <xdr:to>
      <xdr:col>6</xdr:col>
      <xdr:colOff>1155695</xdr:colOff>
      <xdr:row>0</xdr:row>
      <xdr:rowOff>608443</xdr:rowOff>
    </xdr:to>
    <xdr:sp macro="" textlink="">
      <xdr:nvSpPr>
        <xdr:cNvPr id="32" name="Flèche : chevron 31">
          <a:hlinkClick xmlns:r="http://schemas.openxmlformats.org/officeDocument/2006/relationships" r:id="rId6"/>
          <a:extLst>
            <a:ext uri="{FF2B5EF4-FFF2-40B4-BE49-F238E27FC236}">
              <a16:creationId xmlns:a16="http://schemas.microsoft.com/office/drawing/2014/main" id="{FD65702E-4EA7-4E35-8E14-DA6726A99EFE}"/>
            </a:ext>
          </a:extLst>
        </xdr:cNvPr>
        <xdr:cNvSpPr/>
      </xdr:nvSpPr>
      <xdr:spPr>
        <a:xfrm>
          <a:off x="9106415"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Haute-Saône (70)</a:t>
          </a:r>
        </a:p>
      </xdr:txBody>
    </xdr:sp>
    <xdr:clientData/>
  </xdr:twoCellAnchor>
  <xdr:twoCellAnchor>
    <xdr:from>
      <xdr:col>3</xdr:col>
      <xdr:colOff>281799</xdr:colOff>
      <xdr:row>0</xdr:row>
      <xdr:rowOff>91440</xdr:rowOff>
    </xdr:from>
    <xdr:to>
      <xdr:col>3</xdr:col>
      <xdr:colOff>1901799</xdr:colOff>
      <xdr:row>0</xdr:row>
      <xdr:rowOff>608443</xdr:rowOff>
    </xdr:to>
    <xdr:sp macro="" textlink="">
      <xdr:nvSpPr>
        <xdr:cNvPr id="33" name="Flèche : chevron 32">
          <a:hlinkClick xmlns:r="http://schemas.openxmlformats.org/officeDocument/2006/relationships" r:id="rId7"/>
          <a:extLst>
            <a:ext uri="{FF2B5EF4-FFF2-40B4-BE49-F238E27FC236}">
              <a16:creationId xmlns:a16="http://schemas.microsoft.com/office/drawing/2014/main" id="{CA992EE5-48AE-4A25-8533-4FD79BFCA6F2}"/>
            </a:ext>
          </a:extLst>
        </xdr:cNvPr>
        <xdr:cNvSpPr/>
      </xdr:nvSpPr>
      <xdr:spPr>
        <a:xfrm>
          <a:off x="3065639"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0">
              <a:solidFill>
                <a:schemeClr val="tx1"/>
              </a:solidFill>
            </a:rPr>
            <a:t>Côte-d'Or (21)</a:t>
          </a:r>
        </a:p>
      </xdr:txBody>
    </xdr:sp>
    <xdr:clientData/>
  </xdr:twoCellAnchor>
  <xdr:twoCellAnchor>
    <xdr:from>
      <xdr:col>6</xdr:col>
      <xdr:colOff>1025981</xdr:colOff>
      <xdr:row>0</xdr:row>
      <xdr:rowOff>91440</xdr:rowOff>
    </xdr:from>
    <xdr:to>
      <xdr:col>7</xdr:col>
      <xdr:colOff>492061</xdr:colOff>
      <xdr:row>0</xdr:row>
      <xdr:rowOff>608443</xdr:rowOff>
    </xdr:to>
    <xdr:sp macro="" textlink="">
      <xdr:nvSpPr>
        <xdr:cNvPr id="34" name="Flèche : chevron 33">
          <a:hlinkClick xmlns:r="http://schemas.openxmlformats.org/officeDocument/2006/relationships" r:id="rId8"/>
          <a:extLst>
            <a:ext uri="{FF2B5EF4-FFF2-40B4-BE49-F238E27FC236}">
              <a16:creationId xmlns:a16="http://schemas.microsoft.com/office/drawing/2014/main" id="{3E9D7891-5BF4-42EF-8515-7548C2A5A766}"/>
            </a:ext>
          </a:extLst>
        </xdr:cNvPr>
        <xdr:cNvSpPr/>
      </xdr:nvSpPr>
      <xdr:spPr>
        <a:xfrm>
          <a:off x="10596701"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Saône-et-Loire (71)</a:t>
          </a:r>
        </a:p>
      </xdr:txBody>
    </xdr:sp>
    <xdr:clientData/>
  </xdr:twoCellAnchor>
  <xdr:twoCellAnchor>
    <xdr:from>
      <xdr:col>7</xdr:col>
      <xdr:colOff>347738</xdr:colOff>
      <xdr:row>0</xdr:row>
      <xdr:rowOff>91440</xdr:rowOff>
    </xdr:from>
    <xdr:to>
      <xdr:col>8</xdr:col>
      <xdr:colOff>575818</xdr:colOff>
      <xdr:row>0</xdr:row>
      <xdr:rowOff>608443</xdr:rowOff>
    </xdr:to>
    <xdr:sp macro="" textlink="">
      <xdr:nvSpPr>
        <xdr:cNvPr id="35" name="Flèche : chevron 34">
          <a:hlinkClick xmlns:r="http://schemas.openxmlformats.org/officeDocument/2006/relationships" r:id="rId9"/>
          <a:extLst>
            <a:ext uri="{FF2B5EF4-FFF2-40B4-BE49-F238E27FC236}">
              <a16:creationId xmlns:a16="http://schemas.microsoft.com/office/drawing/2014/main" id="{B0FD2384-529B-498F-B849-8CC7A928E630}"/>
            </a:ext>
          </a:extLst>
        </xdr:cNvPr>
        <xdr:cNvSpPr/>
      </xdr:nvSpPr>
      <xdr:spPr>
        <a:xfrm>
          <a:off x="12072378"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Yonne (89)</a:t>
          </a:r>
        </a:p>
      </xdr:txBody>
    </xdr:sp>
    <xdr:clientData/>
  </xdr:twoCellAnchor>
  <xdr:twoCellAnchor>
    <xdr:from>
      <xdr:col>8</xdr:col>
      <xdr:colOff>436817</xdr:colOff>
      <xdr:row>0</xdr:row>
      <xdr:rowOff>91440</xdr:rowOff>
    </xdr:from>
    <xdr:to>
      <xdr:col>8</xdr:col>
      <xdr:colOff>2056817</xdr:colOff>
      <xdr:row>0</xdr:row>
      <xdr:rowOff>608443</xdr:rowOff>
    </xdr:to>
    <xdr:sp macro="" textlink="">
      <xdr:nvSpPr>
        <xdr:cNvPr id="36" name="Flèche : chevron 35">
          <a:hlinkClick xmlns:r="http://schemas.openxmlformats.org/officeDocument/2006/relationships" r:id="rId10"/>
          <a:extLst>
            <a:ext uri="{FF2B5EF4-FFF2-40B4-BE49-F238E27FC236}">
              <a16:creationId xmlns:a16="http://schemas.microsoft.com/office/drawing/2014/main" id="{0BD7BA9A-8F8E-41A0-A9DC-64D0F729041C}"/>
            </a:ext>
          </a:extLst>
        </xdr:cNvPr>
        <xdr:cNvSpPr/>
      </xdr:nvSpPr>
      <xdr:spPr>
        <a:xfrm>
          <a:off x="13553377"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Territoire</a:t>
          </a:r>
          <a:r>
            <a:rPr lang="fr-FR" sz="900" b="1" baseline="0">
              <a:solidFill>
                <a:schemeClr val="tx1"/>
              </a:solidFill>
            </a:rPr>
            <a:t> de Belfort (90)</a:t>
          </a:r>
          <a:endParaRPr lang="fr-FR" sz="900" b="1">
            <a:solidFill>
              <a:schemeClr val="tx1"/>
            </a:solidFill>
          </a:endParaRPr>
        </a:p>
      </xdr:txBody>
    </xdr:sp>
    <xdr:clientData/>
  </xdr:twoCellAnchor>
  <xdr:twoCellAnchor>
    <xdr:from>
      <xdr:col>8</xdr:col>
      <xdr:colOff>1923687</xdr:colOff>
      <xdr:row>0</xdr:row>
      <xdr:rowOff>91440</xdr:rowOff>
    </xdr:from>
    <xdr:to>
      <xdr:col>9</xdr:col>
      <xdr:colOff>1115447</xdr:colOff>
      <xdr:row>0</xdr:row>
      <xdr:rowOff>608443</xdr:rowOff>
    </xdr:to>
    <xdr:sp macro="" textlink="">
      <xdr:nvSpPr>
        <xdr:cNvPr id="37" name="Flèche : chevron 36">
          <a:hlinkClick xmlns:r="http://schemas.openxmlformats.org/officeDocument/2006/relationships" r:id="rId11"/>
          <a:extLst>
            <a:ext uri="{FF2B5EF4-FFF2-40B4-BE49-F238E27FC236}">
              <a16:creationId xmlns:a16="http://schemas.microsoft.com/office/drawing/2014/main" id="{35757D2E-CCB4-4758-96B9-E88A569089D9}"/>
            </a:ext>
          </a:extLst>
        </xdr:cNvPr>
        <xdr:cNvSpPr/>
      </xdr:nvSpPr>
      <xdr:spPr>
        <a:xfrm>
          <a:off x="15040247"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Intervention</a:t>
          </a:r>
          <a:r>
            <a:rPr lang="fr-FR" sz="900" b="1" baseline="0">
              <a:solidFill>
                <a:schemeClr val="tx1"/>
              </a:solidFill>
            </a:rPr>
            <a:t> en Nord-Franche-Comté</a:t>
          </a:r>
          <a:endParaRPr lang="fr-FR" sz="9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90055</xdr:colOff>
      <xdr:row>0</xdr:row>
      <xdr:rowOff>126076</xdr:rowOff>
    </xdr:from>
    <xdr:to>
      <xdr:col>0</xdr:col>
      <xdr:colOff>907635</xdr:colOff>
      <xdr:row>0</xdr:row>
      <xdr:rowOff>636295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01F4F1D-EF70-493A-AD32-C639443F7443}"/>
            </a:ext>
          </a:extLst>
        </xdr:cNvPr>
        <xdr:cNvSpPr/>
      </xdr:nvSpPr>
      <xdr:spPr>
        <a:xfrm>
          <a:off x="90055" y="126076"/>
          <a:ext cx="817580" cy="51021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t>Retour au sommaire </a:t>
          </a:r>
        </a:p>
      </xdr:txBody>
    </xdr:sp>
    <xdr:clientData/>
  </xdr:twoCellAnchor>
  <xdr:twoCellAnchor>
    <xdr:from>
      <xdr:col>13</xdr:col>
      <xdr:colOff>1968137</xdr:colOff>
      <xdr:row>0</xdr:row>
      <xdr:rowOff>0</xdr:rowOff>
    </xdr:from>
    <xdr:to>
      <xdr:col>14</xdr:col>
      <xdr:colOff>447502</xdr:colOff>
      <xdr:row>0</xdr:row>
      <xdr:rowOff>709353</xdr:rowOff>
    </xdr:to>
    <xdr:sp macro="" textlink="">
      <xdr:nvSpPr>
        <xdr:cNvPr id="3" name="Flèche : pentagone 2">
          <a:extLst>
            <a:ext uri="{FF2B5EF4-FFF2-40B4-BE49-F238E27FC236}">
              <a16:creationId xmlns:a16="http://schemas.microsoft.com/office/drawing/2014/main" id="{EAB775BF-74B2-46BD-96F4-F5AB743BB122}"/>
            </a:ext>
          </a:extLst>
        </xdr:cNvPr>
        <xdr:cNvSpPr/>
      </xdr:nvSpPr>
      <xdr:spPr>
        <a:xfrm>
          <a:off x="24296914" y="0"/>
          <a:ext cx="560714" cy="709353"/>
        </a:xfrm>
        <a:prstGeom prst="homePlate">
          <a:avLst/>
        </a:prstGeom>
        <a:solidFill>
          <a:srgbClr val="DCC5ED"/>
        </a:solidFill>
        <a:ln>
          <a:solidFill>
            <a:srgbClr val="DCC5E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55418</xdr:colOff>
      <xdr:row>0</xdr:row>
      <xdr:rowOff>99753</xdr:rowOff>
    </xdr:from>
    <xdr:to>
      <xdr:col>2</xdr:col>
      <xdr:colOff>1673571</xdr:colOff>
      <xdr:row>0</xdr:row>
      <xdr:rowOff>616755</xdr:rowOff>
    </xdr:to>
    <xdr:sp macro="" textlink="">
      <xdr:nvSpPr>
        <xdr:cNvPr id="33" name="Flèche : pentagone 32">
          <a:hlinkClick xmlns:r="http://schemas.openxmlformats.org/officeDocument/2006/relationships" r:id="rId2"/>
          <a:extLst>
            <a:ext uri="{FF2B5EF4-FFF2-40B4-BE49-F238E27FC236}">
              <a16:creationId xmlns:a16="http://schemas.microsoft.com/office/drawing/2014/main" id="{124F9418-1D4D-4A75-8DB5-7B10AC22256D}"/>
            </a:ext>
          </a:extLst>
        </xdr:cNvPr>
        <xdr:cNvSpPr/>
      </xdr:nvSpPr>
      <xdr:spPr>
        <a:xfrm>
          <a:off x="1640378" y="99753"/>
          <a:ext cx="1618153" cy="517002"/>
        </a:xfrm>
        <a:prstGeom prst="homePlate">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chemeClr val="tx1"/>
              </a:solidFill>
            </a:rPr>
            <a:t>Toutes les structures de</a:t>
          </a:r>
          <a:r>
            <a:rPr lang="fr-FR" sz="1100" b="0" baseline="0">
              <a:solidFill>
                <a:schemeClr val="tx1"/>
              </a:solidFill>
            </a:rPr>
            <a:t> la région</a:t>
          </a:r>
          <a:endParaRPr lang="fr-FR" sz="1100" b="0">
            <a:solidFill>
              <a:schemeClr val="tx1"/>
            </a:solidFill>
          </a:endParaRPr>
        </a:p>
      </xdr:txBody>
    </xdr:sp>
    <xdr:clientData/>
  </xdr:twoCellAnchor>
  <xdr:twoCellAnchor>
    <xdr:from>
      <xdr:col>3</xdr:col>
      <xdr:colOff>2472307</xdr:colOff>
      <xdr:row>0</xdr:row>
      <xdr:rowOff>99753</xdr:rowOff>
    </xdr:from>
    <xdr:to>
      <xdr:col>4</xdr:col>
      <xdr:colOff>1415609</xdr:colOff>
      <xdr:row>0</xdr:row>
      <xdr:rowOff>616756</xdr:rowOff>
    </xdr:to>
    <xdr:sp macro="" textlink="">
      <xdr:nvSpPr>
        <xdr:cNvPr id="34" name="Flèche : chevron 33">
          <a:hlinkClick xmlns:r="http://schemas.openxmlformats.org/officeDocument/2006/relationships" r:id="rId3"/>
          <a:extLst>
            <a:ext uri="{FF2B5EF4-FFF2-40B4-BE49-F238E27FC236}">
              <a16:creationId xmlns:a16="http://schemas.microsoft.com/office/drawing/2014/main" id="{700FDC8B-F1E7-4023-A5EA-4F44C3D7F61F}"/>
            </a:ext>
          </a:extLst>
        </xdr:cNvPr>
        <xdr:cNvSpPr/>
      </xdr:nvSpPr>
      <xdr:spPr>
        <a:xfrm>
          <a:off x="6118823" y="99753"/>
          <a:ext cx="1625542"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Jura (39)</a:t>
          </a:r>
        </a:p>
      </xdr:txBody>
    </xdr:sp>
    <xdr:clientData/>
  </xdr:twoCellAnchor>
  <xdr:twoCellAnchor>
    <xdr:from>
      <xdr:col>4</xdr:col>
      <xdr:colOff>1348917</xdr:colOff>
      <xdr:row>0</xdr:row>
      <xdr:rowOff>99753</xdr:rowOff>
    </xdr:from>
    <xdr:to>
      <xdr:col>5</xdr:col>
      <xdr:colOff>1192764</xdr:colOff>
      <xdr:row>0</xdr:row>
      <xdr:rowOff>616756</xdr:rowOff>
    </xdr:to>
    <xdr:sp macro="" textlink="">
      <xdr:nvSpPr>
        <xdr:cNvPr id="35" name="Flèche : chevron 34">
          <a:hlinkClick xmlns:r="http://schemas.openxmlformats.org/officeDocument/2006/relationships" r:id="rId4"/>
          <a:extLst>
            <a:ext uri="{FF2B5EF4-FFF2-40B4-BE49-F238E27FC236}">
              <a16:creationId xmlns:a16="http://schemas.microsoft.com/office/drawing/2014/main" id="{6EBA1C5F-C7D4-422F-B133-29683F1B5455}"/>
            </a:ext>
          </a:extLst>
        </xdr:cNvPr>
        <xdr:cNvSpPr/>
      </xdr:nvSpPr>
      <xdr:spPr>
        <a:xfrm>
          <a:off x="7677673" y="99753"/>
          <a:ext cx="1617229"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Nièvre (58)</a:t>
          </a:r>
          <a:r>
            <a:rPr lang="fr-FR" sz="900">
              <a:solidFill>
                <a:schemeClr val="tx1"/>
              </a:solidFill>
            </a:rPr>
            <a:t> </a:t>
          </a:r>
        </a:p>
      </xdr:txBody>
    </xdr:sp>
    <xdr:clientData/>
  </xdr:twoCellAnchor>
  <xdr:twoCellAnchor>
    <xdr:from>
      <xdr:col>3</xdr:col>
      <xdr:colOff>1000821</xdr:colOff>
      <xdr:row>0</xdr:row>
      <xdr:rowOff>99753</xdr:rowOff>
    </xdr:from>
    <xdr:to>
      <xdr:col>3</xdr:col>
      <xdr:colOff>2627286</xdr:colOff>
      <xdr:row>0</xdr:row>
      <xdr:rowOff>616756</xdr:rowOff>
    </xdr:to>
    <xdr:sp macro="" textlink="">
      <xdr:nvSpPr>
        <xdr:cNvPr id="36" name="Flèche : chevron 35">
          <a:hlinkClick xmlns:r="http://schemas.openxmlformats.org/officeDocument/2006/relationships" r:id="rId5"/>
          <a:extLst>
            <a:ext uri="{FF2B5EF4-FFF2-40B4-BE49-F238E27FC236}">
              <a16:creationId xmlns:a16="http://schemas.microsoft.com/office/drawing/2014/main" id="{FBF4F1DF-9B7E-4CD5-BC6A-5BEC3784CDA2}"/>
            </a:ext>
          </a:extLst>
        </xdr:cNvPr>
        <xdr:cNvSpPr/>
      </xdr:nvSpPr>
      <xdr:spPr>
        <a:xfrm>
          <a:off x="4647337" y="99753"/>
          <a:ext cx="1626465"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effectLst/>
              <a:latin typeface="+mn-lt"/>
              <a:ea typeface="+mn-ea"/>
              <a:cs typeface="+mn-cs"/>
            </a:rPr>
            <a:t>Doubs (25)</a:t>
          </a:r>
          <a:endParaRPr lang="fr-FR" sz="900">
            <a:solidFill>
              <a:schemeClr val="tx1"/>
            </a:solidFill>
            <a:effectLst/>
          </a:endParaRPr>
        </a:p>
      </xdr:txBody>
    </xdr:sp>
    <xdr:clientData/>
  </xdr:twoCellAnchor>
  <xdr:twoCellAnchor>
    <xdr:from>
      <xdr:col>5</xdr:col>
      <xdr:colOff>1056924</xdr:colOff>
      <xdr:row>0</xdr:row>
      <xdr:rowOff>99753</xdr:rowOff>
    </xdr:from>
    <xdr:to>
      <xdr:col>6</xdr:col>
      <xdr:colOff>803789</xdr:colOff>
      <xdr:row>0</xdr:row>
      <xdr:rowOff>616756</xdr:rowOff>
    </xdr:to>
    <xdr:sp macro="" textlink="">
      <xdr:nvSpPr>
        <xdr:cNvPr id="37" name="Flèche : chevron 36">
          <a:hlinkClick xmlns:r="http://schemas.openxmlformats.org/officeDocument/2006/relationships" r:id="rId6"/>
          <a:extLst>
            <a:ext uri="{FF2B5EF4-FFF2-40B4-BE49-F238E27FC236}">
              <a16:creationId xmlns:a16="http://schemas.microsoft.com/office/drawing/2014/main" id="{F6E43F84-01C7-4402-BA79-619D27178AAC}"/>
            </a:ext>
          </a:extLst>
        </xdr:cNvPr>
        <xdr:cNvSpPr/>
      </xdr:nvSpPr>
      <xdr:spPr>
        <a:xfrm>
          <a:off x="9159062" y="99753"/>
          <a:ext cx="1620000" cy="517003"/>
        </a:xfrm>
        <a:prstGeom prst="chevron">
          <a:avLst/>
        </a:prstGeom>
        <a:solidFill>
          <a:srgbClr val="B887D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Haute-Saône (70)</a:t>
          </a:r>
        </a:p>
      </xdr:txBody>
    </xdr:sp>
    <xdr:clientData/>
  </xdr:twoCellAnchor>
  <xdr:twoCellAnchor>
    <xdr:from>
      <xdr:col>2</xdr:col>
      <xdr:colOff>1524090</xdr:colOff>
      <xdr:row>0</xdr:row>
      <xdr:rowOff>99753</xdr:rowOff>
    </xdr:from>
    <xdr:to>
      <xdr:col>3</xdr:col>
      <xdr:colOff>1082534</xdr:colOff>
      <xdr:row>0</xdr:row>
      <xdr:rowOff>616756</xdr:rowOff>
    </xdr:to>
    <xdr:sp macro="" textlink="">
      <xdr:nvSpPr>
        <xdr:cNvPr id="38" name="Flèche : chevron 37">
          <a:hlinkClick xmlns:r="http://schemas.openxmlformats.org/officeDocument/2006/relationships" r:id="rId7"/>
          <a:extLst>
            <a:ext uri="{FF2B5EF4-FFF2-40B4-BE49-F238E27FC236}">
              <a16:creationId xmlns:a16="http://schemas.microsoft.com/office/drawing/2014/main" id="{F44DFE6D-4EC6-499A-A724-DF0A9668FA6F}"/>
            </a:ext>
          </a:extLst>
        </xdr:cNvPr>
        <xdr:cNvSpPr/>
      </xdr:nvSpPr>
      <xdr:spPr>
        <a:xfrm>
          <a:off x="3109050" y="99753"/>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0">
              <a:solidFill>
                <a:schemeClr val="tx1"/>
              </a:solidFill>
            </a:rPr>
            <a:t>Côte-d'Or (21)</a:t>
          </a:r>
        </a:p>
      </xdr:txBody>
    </xdr:sp>
    <xdr:clientData/>
  </xdr:twoCellAnchor>
  <xdr:twoCellAnchor>
    <xdr:from>
      <xdr:col>6</xdr:col>
      <xdr:colOff>674075</xdr:colOff>
      <xdr:row>0</xdr:row>
      <xdr:rowOff>99753</xdr:rowOff>
    </xdr:from>
    <xdr:to>
      <xdr:col>7</xdr:col>
      <xdr:colOff>140155</xdr:colOff>
      <xdr:row>0</xdr:row>
      <xdr:rowOff>616756</xdr:rowOff>
    </xdr:to>
    <xdr:sp macro="" textlink="">
      <xdr:nvSpPr>
        <xdr:cNvPr id="39" name="Flèche : chevron 38">
          <a:hlinkClick xmlns:r="http://schemas.openxmlformats.org/officeDocument/2006/relationships" r:id="rId8"/>
          <a:extLst>
            <a:ext uri="{FF2B5EF4-FFF2-40B4-BE49-F238E27FC236}">
              <a16:creationId xmlns:a16="http://schemas.microsoft.com/office/drawing/2014/main" id="{FB97C527-35CF-44F7-809E-C6C19B59FC71}"/>
            </a:ext>
          </a:extLst>
        </xdr:cNvPr>
        <xdr:cNvSpPr/>
      </xdr:nvSpPr>
      <xdr:spPr>
        <a:xfrm>
          <a:off x="10649348" y="99753"/>
          <a:ext cx="1627389"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Saône-et-Loire (71)</a:t>
          </a:r>
        </a:p>
      </xdr:txBody>
    </xdr:sp>
    <xdr:clientData/>
  </xdr:twoCellAnchor>
  <xdr:twoCellAnchor>
    <xdr:from>
      <xdr:col>6</xdr:col>
      <xdr:colOff>2157141</xdr:colOff>
      <xdr:row>0</xdr:row>
      <xdr:rowOff>99753</xdr:rowOff>
    </xdr:from>
    <xdr:to>
      <xdr:col>7</xdr:col>
      <xdr:colOff>1609367</xdr:colOff>
      <xdr:row>0</xdr:row>
      <xdr:rowOff>616756</xdr:rowOff>
    </xdr:to>
    <xdr:sp macro="" textlink="">
      <xdr:nvSpPr>
        <xdr:cNvPr id="40" name="Flèche : chevron 39">
          <a:hlinkClick xmlns:r="http://schemas.openxmlformats.org/officeDocument/2006/relationships" r:id="rId9"/>
          <a:extLst>
            <a:ext uri="{FF2B5EF4-FFF2-40B4-BE49-F238E27FC236}">
              <a16:creationId xmlns:a16="http://schemas.microsoft.com/office/drawing/2014/main" id="{62F40101-6305-4BC0-BECC-C727CA70CAE6}"/>
            </a:ext>
          </a:extLst>
        </xdr:cNvPr>
        <xdr:cNvSpPr/>
      </xdr:nvSpPr>
      <xdr:spPr>
        <a:xfrm>
          <a:off x="12132414" y="99753"/>
          <a:ext cx="1613535"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Yonne (89)</a:t>
          </a:r>
        </a:p>
      </xdr:txBody>
    </xdr:sp>
    <xdr:clientData/>
  </xdr:twoCellAnchor>
  <xdr:twoCellAnchor>
    <xdr:from>
      <xdr:col>7</xdr:col>
      <xdr:colOff>1470366</xdr:colOff>
      <xdr:row>0</xdr:row>
      <xdr:rowOff>99753</xdr:rowOff>
    </xdr:from>
    <xdr:to>
      <xdr:col>8</xdr:col>
      <xdr:colOff>1050053</xdr:colOff>
      <xdr:row>0</xdr:row>
      <xdr:rowOff>616756</xdr:rowOff>
    </xdr:to>
    <xdr:sp macro="" textlink="">
      <xdr:nvSpPr>
        <xdr:cNvPr id="41" name="Flèche : chevron 40">
          <a:hlinkClick xmlns:r="http://schemas.openxmlformats.org/officeDocument/2006/relationships" r:id="rId10"/>
          <a:extLst>
            <a:ext uri="{FF2B5EF4-FFF2-40B4-BE49-F238E27FC236}">
              <a16:creationId xmlns:a16="http://schemas.microsoft.com/office/drawing/2014/main" id="{8951BD00-3400-4FE2-A45B-C945A3B259FF}"/>
            </a:ext>
          </a:extLst>
        </xdr:cNvPr>
        <xdr:cNvSpPr/>
      </xdr:nvSpPr>
      <xdr:spPr>
        <a:xfrm>
          <a:off x="13606948" y="99753"/>
          <a:ext cx="1619076"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Territoire</a:t>
          </a:r>
          <a:r>
            <a:rPr lang="fr-FR" sz="900" b="1" baseline="0">
              <a:solidFill>
                <a:schemeClr val="tx1"/>
              </a:solidFill>
            </a:rPr>
            <a:t> de Belfort (90)</a:t>
          </a:r>
          <a:endParaRPr lang="fr-FR" sz="900" b="1">
            <a:solidFill>
              <a:schemeClr val="tx1"/>
            </a:solidFill>
          </a:endParaRPr>
        </a:p>
      </xdr:txBody>
    </xdr:sp>
    <xdr:clientData/>
  </xdr:twoCellAnchor>
  <xdr:twoCellAnchor>
    <xdr:from>
      <xdr:col>8</xdr:col>
      <xdr:colOff>916923</xdr:colOff>
      <xdr:row>0</xdr:row>
      <xdr:rowOff>99753</xdr:rowOff>
    </xdr:from>
    <xdr:to>
      <xdr:col>10</xdr:col>
      <xdr:colOff>133621</xdr:colOff>
      <xdr:row>0</xdr:row>
      <xdr:rowOff>616756</xdr:rowOff>
    </xdr:to>
    <xdr:sp macro="" textlink="">
      <xdr:nvSpPr>
        <xdr:cNvPr id="42" name="Flèche : chevron 41">
          <a:hlinkClick xmlns:r="http://schemas.openxmlformats.org/officeDocument/2006/relationships" r:id="rId11"/>
          <a:extLst>
            <a:ext uri="{FF2B5EF4-FFF2-40B4-BE49-F238E27FC236}">
              <a16:creationId xmlns:a16="http://schemas.microsoft.com/office/drawing/2014/main" id="{BE481399-84CA-4853-AB34-2E3850F0D42F}"/>
            </a:ext>
          </a:extLst>
        </xdr:cNvPr>
        <xdr:cNvSpPr/>
      </xdr:nvSpPr>
      <xdr:spPr>
        <a:xfrm>
          <a:off x="15092894" y="99753"/>
          <a:ext cx="1621847"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Intervention</a:t>
          </a:r>
          <a:r>
            <a:rPr lang="fr-FR" sz="900" b="1" baseline="0">
              <a:solidFill>
                <a:schemeClr val="tx1"/>
              </a:solidFill>
            </a:rPr>
            <a:t> en Nord-Franche-Comté</a:t>
          </a:r>
          <a:endParaRPr lang="fr-FR" sz="900" b="1">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90055</xdr:colOff>
      <xdr:row>0</xdr:row>
      <xdr:rowOff>126076</xdr:rowOff>
    </xdr:from>
    <xdr:to>
      <xdr:col>0</xdr:col>
      <xdr:colOff>907635</xdr:colOff>
      <xdr:row>0</xdr:row>
      <xdr:rowOff>636295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87FB909-4764-4898-A503-D8A9E7A2F823}"/>
            </a:ext>
          </a:extLst>
        </xdr:cNvPr>
        <xdr:cNvSpPr/>
      </xdr:nvSpPr>
      <xdr:spPr>
        <a:xfrm>
          <a:off x="90055" y="126076"/>
          <a:ext cx="817580" cy="51021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t>Retour au sommaire </a:t>
          </a:r>
        </a:p>
      </xdr:txBody>
    </xdr:sp>
    <xdr:clientData/>
  </xdr:twoCellAnchor>
  <xdr:twoCellAnchor>
    <xdr:from>
      <xdr:col>13</xdr:col>
      <xdr:colOff>1534160</xdr:colOff>
      <xdr:row>0</xdr:row>
      <xdr:rowOff>0</xdr:rowOff>
    </xdr:from>
    <xdr:to>
      <xdr:col>14</xdr:col>
      <xdr:colOff>188422</xdr:colOff>
      <xdr:row>0</xdr:row>
      <xdr:rowOff>709353</xdr:rowOff>
    </xdr:to>
    <xdr:sp macro="" textlink="">
      <xdr:nvSpPr>
        <xdr:cNvPr id="3" name="Flèche : pentagone 2">
          <a:extLst>
            <a:ext uri="{FF2B5EF4-FFF2-40B4-BE49-F238E27FC236}">
              <a16:creationId xmlns:a16="http://schemas.microsoft.com/office/drawing/2014/main" id="{90470AB3-3093-4BD2-8D85-15A94861C617}"/>
            </a:ext>
          </a:extLst>
        </xdr:cNvPr>
        <xdr:cNvSpPr/>
      </xdr:nvSpPr>
      <xdr:spPr>
        <a:xfrm>
          <a:off x="19060160" y="0"/>
          <a:ext cx="229062" cy="709353"/>
        </a:xfrm>
        <a:prstGeom prst="homePlate">
          <a:avLst/>
        </a:prstGeom>
        <a:solidFill>
          <a:srgbClr val="DCC5ED"/>
        </a:solidFill>
        <a:ln>
          <a:solidFill>
            <a:srgbClr val="DCC5E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30480</xdr:colOff>
      <xdr:row>0</xdr:row>
      <xdr:rowOff>111760</xdr:rowOff>
    </xdr:from>
    <xdr:to>
      <xdr:col>2</xdr:col>
      <xdr:colOff>1650480</xdr:colOff>
      <xdr:row>0</xdr:row>
      <xdr:rowOff>628762</xdr:rowOff>
    </xdr:to>
    <xdr:sp macro="" textlink="">
      <xdr:nvSpPr>
        <xdr:cNvPr id="13" name="Flèche : pentagone 12">
          <a:hlinkClick xmlns:r="http://schemas.openxmlformats.org/officeDocument/2006/relationships" r:id="rId2"/>
          <a:extLst>
            <a:ext uri="{FF2B5EF4-FFF2-40B4-BE49-F238E27FC236}">
              <a16:creationId xmlns:a16="http://schemas.microsoft.com/office/drawing/2014/main" id="{460C1D97-991C-4C6E-BA58-5B47CBB231EC}"/>
            </a:ext>
          </a:extLst>
        </xdr:cNvPr>
        <xdr:cNvSpPr/>
      </xdr:nvSpPr>
      <xdr:spPr>
        <a:xfrm>
          <a:off x="1615440" y="111760"/>
          <a:ext cx="1620000" cy="517002"/>
        </a:xfrm>
        <a:prstGeom prst="homePlate">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chemeClr val="tx1"/>
              </a:solidFill>
            </a:rPr>
            <a:t>Toutes les structures de</a:t>
          </a:r>
          <a:r>
            <a:rPr lang="fr-FR" sz="1100" b="0" baseline="0">
              <a:solidFill>
                <a:schemeClr val="tx1"/>
              </a:solidFill>
            </a:rPr>
            <a:t> la région</a:t>
          </a:r>
          <a:endParaRPr lang="fr-FR" sz="1100" b="0">
            <a:solidFill>
              <a:schemeClr val="tx1"/>
            </a:solidFill>
          </a:endParaRPr>
        </a:p>
      </xdr:txBody>
    </xdr:sp>
    <xdr:clientData/>
  </xdr:twoCellAnchor>
  <xdr:twoCellAnchor>
    <xdr:from>
      <xdr:col>3</xdr:col>
      <xdr:colOff>2319907</xdr:colOff>
      <xdr:row>0</xdr:row>
      <xdr:rowOff>111760</xdr:rowOff>
    </xdr:from>
    <xdr:to>
      <xdr:col>4</xdr:col>
      <xdr:colOff>1308467</xdr:colOff>
      <xdr:row>0</xdr:row>
      <xdr:rowOff>628763</xdr:rowOff>
    </xdr:to>
    <xdr:sp macro="" textlink="">
      <xdr:nvSpPr>
        <xdr:cNvPr id="14" name="Flèche : chevron 13">
          <a:hlinkClick xmlns:r="http://schemas.openxmlformats.org/officeDocument/2006/relationships" r:id="rId3"/>
          <a:extLst>
            <a:ext uri="{FF2B5EF4-FFF2-40B4-BE49-F238E27FC236}">
              <a16:creationId xmlns:a16="http://schemas.microsoft.com/office/drawing/2014/main" id="{07B26116-AD06-42B0-B5E6-4D7BC645D8FE}"/>
            </a:ext>
          </a:extLst>
        </xdr:cNvPr>
        <xdr:cNvSpPr/>
      </xdr:nvSpPr>
      <xdr:spPr>
        <a:xfrm>
          <a:off x="6089267" y="11176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Jura (39)</a:t>
          </a:r>
        </a:p>
      </xdr:txBody>
    </xdr:sp>
    <xdr:clientData/>
  </xdr:twoCellAnchor>
  <xdr:twoCellAnchor>
    <xdr:from>
      <xdr:col>4</xdr:col>
      <xdr:colOff>1241775</xdr:colOff>
      <xdr:row>0</xdr:row>
      <xdr:rowOff>111760</xdr:rowOff>
    </xdr:from>
    <xdr:to>
      <xdr:col>5</xdr:col>
      <xdr:colOff>1093935</xdr:colOff>
      <xdr:row>0</xdr:row>
      <xdr:rowOff>628763</xdr:rowOff>
    </xdr:to>
    <xdr:sp macro="" textlink="">
      <xdr:nvSpPr>
        <xdr:cNvPr id="15" name="Flèche : chevron 14">
          <a:hlinkClick xmlns:r="http://schemas.openxmlformats.org/officeDocument/2006/relationships" r:id="rId4"/>
          <a:extLst>
            <a:ext uri="{FF2B5EF4-FFF2-40B4-BE49-F238E27FC236}">
              <a16:creationId xmlns:a16="http://schemas.microsoft.com/office/drawing/2014/main" id="{711C9A51-3AC9-4EF2-9E60-9DF3DB6CDE41}"/>
            </a:ext>
          </a:extLst>
        </xdr:cNvPr>
        <xdr:cNvSpPr/>
      </xdr:nvSpPr>
      <xdr:spPr>
        <a:xfrm>
          <a:off x="7642575" y="11176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Nièvre (58)</a:t>
          </a:r>
          <a:r>
            <a:rPr lang="fr-FR" sz="900">
              <a:solidFill>
                <a:schemeClr val="tx1"/>
              </a:solidFill>
            </a:rPr>
            <a:t> </a:t>
          </a:r>
        </a:p>
      </xdr:txBody>
    </xdr:sp>
    <xdr:clientData/>
  </xdr:twoCellAnchor>
  <xdr:twoCellAnchor>
    <xdr:from>
      <xdr:col>3</xdr:col>
      <xdr:colOff>854886</xdr:colOff>
      <xdr:row>0</xdr:row>
      <xdr:rowOff>111760</xdr:rowOff>
    </xdr:from>
    <xdr:to>
      <xdr:col>3</xdr:col>
      <xdr:colOff>2474886</xdr:colOff>
      <xdr:row>0</xdr:row>
      <xdr:rowOff>628763</xdr:rowOff>
    </xdr:to>
    <xdr:sp macro="" textlink="">
      <xdr:nvSpPr>
        <xdr:cNvPr id="16" name="Flèche : chevron 15">
          <a:hlinkClick xmlns:r="http://schemas.openxmlformats.org/officeDocument/2006/relationships" r:id="rId5"/>
          <a:extLst>
            <a:ext uri="{FF2B5EF4-FFF2-40B4-BE49-F238E27FC236}">
              <a16:creationId xmlns:a16="http://schemas.microsoft.com/office/drawing/2014/main" id="{7064F8C6-AF0E-4286-900D-4ADAC9D11C58}"/>
            </a:ext>
          </a:extLst>
        </xdr:cNvPr>
        <xdr:cNvSpPr/>
      </xdr:nvSpPr>
      <xdr:spPr>
        <a:xfrm>
          <a:off x="4624246" y="11176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effectLst/>
              <a:latin typeface="+mn-lt"/>
              <a:ea typeface="+mn-ea"/>
              <a:cs typeface="+mn-cs"/>
            </a:rPr>
            <a:t>Doubs (25)</a:t>
          </a:r>
          <a:endParaRPr lang="fr-FR" sz="900">
            <a:solidFill>
              <a:schemeClr val="tx1"/>
            </a:solidFill>
            <a:effectLst/>
          </a:endParaRPr>
        </a:p>
      </xdr:txBody>
    </xdr:sp>
    <xdr:clientData/>
  </xdr:twoCellAnchor>
  <xdr:twoCellAnchor>
    <xdr:from>
      <xdr:col>5</xdr:col>
      <xdr:colOff>958095</xdr:colOff>
      <xdr:row>0</xdr:row>
      <xdr:rowOff>111760</xdr:rowOff>
    </xdr:from>
    <xdr:to>
      <xdr:col>6</xdr:col>
      <xdr:colOff>1023615</xdr:colOff>
      <xdr:row>0</xdr:row>
      <xdr:rowOff>628763</xdr:rowOff>
    </xdr:to>
    <xdr:sp macro="" textlink="">
      <xdr:nvSpPr>
        <xdr:cNvPr id="17" name="Flèche : chevron 16">
          <a:hlinkClick xmlns:r="http://schemas.openxmlformats.org/officeDocument/2006/relationships" r:id="rId6"/>
          <a:extLst>
            <a:ext uri="{FF2B5EF4-FFF2-40B4-BE49-F238E27FC236}">
              <a16:creationId xmlns:a16="http://schemas.microsoft.com/office/drawing/2014/main" id="{A7215DFB-6A9C-4E1E-9E8D-A75034BDEDBA}"/>
            </a:ext>
          </a:extLst>
        </xdr:cNvPr>
        <xdr:cNvSpPr/>
      </xdr:nvSpPr>
      <xdr:spPr>
        <a:xfrm>
          <a:off x="9126735" y="11176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Haute-Saône (70)</a:t>
          </a:r>
        </a:p>
      </xdr:txBody>
    </xdr:sp>
    <xdr:clientData/>
  </xdr:twoCellAnchor>
  <xdr:twoCellAnchor>
    <xdr:from>
      <xdr:col>2</xdr:col>
      <xdr:colOff>1500999</xdr:colOff>
      <xdr:row>0</xdr:row>
      <xdr:rowOff>111760</xdr:rowOff>
    </xdr:from>
    <xdr:to>
      <xdr:col>3</xdr:col>
      <xdr:colOff>936599</xdr:colOff>
      <xdr:row>0</xdr:row>
      <xdr:rowOff>628763</xdr:rowOff>
    </xdr:to>
    <xdr:sp macro="" textlink="">
      <xdr:nvSpPr>
        <xdr:cNvPr id="18" name="Flèche : chevron 17">
          <a:hlinkClick xmlns:r="http://schemas.openxmlformats.org/officeDocument/2006/relationships" r:id="rId7"/>
          <a:extLst>
            <a:ext uri="{FF2B5EF4-FFF2-40B4-BE49-F238E27FC236}">
              <a16:creationId xmlns:a16="http://schemas.microsoft.com/office/drawing/2014/main" id="{C79172D1-9C16-431C-A49C-978EFB254309}"/>
            </a:ext>
          </a:extLst>
        </xdr:cNvPr>
        <xdr:cNvSpPr/>
      </xdr:nvSpPr>
      <xdr:spPr>
        <a:xfrm>
          <a:off x="3085959" y="11176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0">
              <a:solidFill>
                <a:schemeClr val="tx1"/>
              </a:solidFill>
            </a:rPr>
            <a:t>Côte-d'Or (21)</a:t>
          </a:r>
        </a:p>
      </xdr:txBody>
    </xdr:sp>
    <xdr:clientData/>
  </xdr:twoCellAnchor>
  <xdr:twoCellAnchor>
    <xdr:from>
      <xdr:col>6</xdr:col>
      <xdr:colOff>893901</xdr:colOff>
      <xdr:row>0</xdr:row>
      <xdr:rowOff>111760</xdr:rowOff>
    </xdr:from>
    <xdr:to>
      <xdr:col>7</xdr:col>
      <xdr:colOff>359981</xdr:colOff>
      <xdr:row>0</xdr:row>
      <xdr:rowOff>628763</xdr:rowOff>
    </xdr:to>
    <xdr:sp macro="" textlink="">
      <xdr:nvSpPr>
        <xdr:cNvPr id="19" name="Flèche : chevron 18">
          <a:hlinkClick xmlns:r="http://schemas.openxmlformats.org/officeDocument/2006/relationships" r:id="rId8"/>
          <a:extLst>
            <a:ext uri="{FF2B5EF4-FFF2-40B4-BE49-F238E27FC236}">
              <a16:creationId xmlns:a16="http://schemas.microsoft.com/office/drawing/2014/main" id="{5B1286E5-4285-452B-A8BB-8629BD5FCF7C}"/>
            </a:ext>
          </a:extLst>
        </xdr:cNvPr>
        <xdr:cNvSpPr/>
      </xdr:nvSpPr>
      <xdr:spPr>
        <a:xfrm>
          <a:off x="10617021" y="111760"/>
          <a:ext cx="1620000" cy="517003"/>
        </a:xfrm>
        <a:prstGeom prst="chevron">
          <a:avLst/>
        </a:prstGeom>
        <a:solidFill>
          <a:srgbClr val="B887D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Saône-et-Loire (71)</a:t>
          </a:r>
        </a:p>
      </xdr:txBody>
    </xdr:sp>
    <xdr:clientData/>
  </xdr:twoCellAnchor>
  <xdr:twoCellAnchor>
    <xdr:from>
      <xdr:col>7</xdr:col>
      <xdr:colOff>215658</xdr:colOff>
      <xdr:row>0</xdr:row>
      <xdr:rowOff>111760</xdr:rowOff>
    </xdr:from>
    <xdr:to>
      <xdr:col>8</xdr:col>
      <xdr:colOff>443738</xdr:colOff>
      <xdr:row>0</xdr:row>
      <xdr:rowOff>628763</xdr:rowOff>
    </xdr:to>
    <xdr:sp macro="" textlink="">
      <xdr:nvSpPr>
        <xdr:cNvPr id="20" name="Flèche : chevron 19">
          <a:hlinkClick xmlns:r="http://schemas.openxmlformats.org/officeDocument/2006/relationships" r:id="rId9"/>
          <a:extLst>
            <a:ext uri="{FF2B5EF4-FFF2-40B4-BE49-F238E27FC236}">
              <a16:creationId xmlns:a16="http://schemas.microsoft.com/office/drawing/2014/main" id="{05838649-1060-4062-AD96-7191B1134826}"/>
            </a:ext>
          </a:extLst>
        </xdr:cNvPr>
        <xdr:cNvSpPr/>
      </xdr:nvSpPr>
      <xdr:spPr>
        <a:xfrm>
          <a:off x="12092698" y="11176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Yonne (89)</a:t>
          </a:r>
        </a:p>
      </xdr:txBody>
    </xdr:sp>
    <xdr:clientData/>
  </xdr:twoCellAnchor>
  <xdr:twoCellAnchor>
    <xdr:from>
      <xdr:col>8</xdr:col>
      <xdr:colOff>304737</xdr:colOff>
      <xdr:row>0</xdr:row>
      <xdr:rowOff>111760</xdr:rowOff>
    </xdr:from>
    <xdr:to>
      <xdr:col>8</xdr:col>
      <xdr:colOff>1924737</xdr:colOff>
      <xdr:row>0</xdr:row>
      <xdr:rowOff>628763</xdr:rowOff>
    </xdr:to>
    <xdr:sp macro="" textlink="">
      <xdr:nvSpPr>
        <xdr:cNvPr id="21" name="Flèche : chevron 20">
          <a:hlinkClick xmlns:r="http://schemas.openxmlformats.org/officeDocument/2006/relationships" r:id="rId10"/>
          <a:extLst>
            <a:ext uri="{FF2B5EF4-FFF2-40B4-BE49-F238E27FC236}">
              <a16:creationId xmlns:a16="http://schemas.microsoft.com/office/drawing/2014/main" id="{46F3ED66-E06B-4DD1-93AF-E805143F94DE}"/>
            </a:ext>
          </a:extLst>
        </xdr:cNvPr>
        <xdr:cNvSpPr/>
      </xdr:nvSpPr>
      <xdr:spPr>
        <a:xfrm>
          <a:off x="13573697" y="11176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Territoire</a:t>
          </a:r>
          <a:r>
            <a:rPr lang="fr-FR" sz="900" b="1" baseline="0">
              <a:solidFill>
                <a:schemeClr val="tx1"/>
              </a:solidFill>
            </a:rPr>
            <a:t> de Belfort (90)</a:t>
          </a:r>
          <a:endParaRPr lang="fr-FR" sz="900" b="1">
            <a:solidFill>
              <a:schemeClr val="tx1"/>
            </a:solidFill>
          </a:endParaRPr>
        </a:p>
      </xdr:txBody>
    </xdr:sp>
    <xdr:clientData/>
  </xdr:twoCellAnchor>
  <xdr:twoCellAnchor>
    <xdr:from>
      <xdr:col>8</xdr:col>
      <xdr:colOff>1791607</xdr:colOff>
      <xdr:row>0</xdr:row>
      <xdr:rowOff>111760</xdr:rowOff>
    </xdr:from>
    <xdr:to>
      <xdr:col>9</xdr:col>
      <xdr:colOff>983367</xdr:colOff>
      <xdr:row>0</xdr:row>
      <xdr:rowOff>628763</xdr:rowOff>
    </xdr:to>
    <xdr:sp macro="" textlink="">
      <xdr:nvSpPr>
        <xdr:cNvPr id="22" name="Flèche : chevron 21">
          <a:hlinkClick xmlns:r="http://schemas.openxmlformats.org/officeDocument/2006/relationships" r:id="rId11"/>
          <a:extLst>
            <a:ext uri="{FF2B5EF4-FFF2-40B4-BE49-F238E27FC236}">
              <a16:creationId xmlns:a16="http://schemas.microsoft.com/office/drawing/2014/main" id="{0C6AAD91-C0DB-4E9B-9567-0BB2EB23DDAD}"/>
            </a:ext>
          </a:extLst>
        </xdr:cNvPr>
        <xdr:cNvSpPr/>
      </xdr:nvSpPr>
      <xdr:spPr>
        <a:xfrm>
          <a:off x="15060567" y="11176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Intervention</a:t>
          </a:r>
          <a:r>
            <a:rPr lang="fr-FR" sz="900" b="1" baseline="0">
              <a:solidFill>
                <a:schemeClr val="tx1"/>
              </a:solidFill>
            </a:rPr>
            <a:t> en Nord-Franche-Comté</a:t>
          </a:r>
          <a:endParaRPr lang="fr-FR" sz="900" b="1">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90055</xdr:colOff>
      <xdr:row>0</xdr:row>
      <xdr:rowOff>126076</xdr:rowOff>
    </xdr:from>
    <xdr:to>
      <xdr:col>0</xdr:col>
      <xdr:colOff>907635</xdr:colOff>
      <xdr:row>0</xdr:row>
      <xdr:rowOff>636295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352B196-5320-465F-BD52-48CE1189AAC0}"/>
            </a:ext>
          </a:extLst>
        </xdr:cNvPr>
        <xdr:cNvSpPr/>
      </xdr:nvSpPr>
      <xdr:spPr>
        <a:xfrm>
          <a:off x="90055" y="126076"/>
          <a:ext cx="817580" cy="51021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t>Retour au sommaire </a:t>
          </a:r>
        </a:p>
      </xdr:txBody>
    </xdr:sp>
    <xdr:clientData/>
  </xdr:twoCellAnchor>
  <xdr:twoCellAnchor>
    <xdr:from>
      <xdr:col>13</xdr:col>
      <xdr:colOff>2418080</xdr:colOff>
      <xdr:row>0</xdr:row>
      <xdr:rowOff>0</xdr:rowOff>
    </xdr:from>
    <xdr:to>
      <xdr:col>14</xdr:col>
      <xdr:colOff>188422</xdr:colOff>
      <xdr:row>0</xdr:row>
      <xdr:rowOff>709353</xdr:rowOff>
    </xdr:to>
    <xdr:sp macro="" textlink="">
      <xdr:nvSpPr>
        <xdr:cNvPr id="3" name="Flèche : pentagone 2">
          <a:extLst>
            <a:ext uri="{FF2B5EF4-FFF2-40B4-BE49-F238E27FC236}">
              <a16:creationId xmlns:a16="http://schemas.microsoft.com/office/drawing/2014/main" id="{BB942544-5D84-486F-9D86-AA4783D25D4E}"/>
            </a:ext>
          </a:extLst>
        </xdr:cNvPr>
        <xdr:cNvSpPr/>
      </xdr:nvSpPr>
      <xdr:spPr>
        <a:xfrm>
          <a:off x="19944080" y="0"/>
          <a:ext cx="350982" cy="709353"/>
        </a:xfrm>
        <a:prstGeom prst="homePlate">
          <a:avLst/>
        </a:prstGeom>
        <a:solidFill>
          <a:srgbClr val="DCC5ED"/>
        </a:solidFill>
        <a:ln>
          <a:solidFill>
            <a:srgbClr val="DCC5E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20320</xdr:colOff>
      <xdr:row>0</xdr:row>
      <xdr:rowOff>91440</xdr:rowOff>
    </xdr:from>
    <xdr:to>
      <xdr:col>2</xdr:col>
      <xdr:colOff>1640320</xdr:colOff>
      <xdr:row>0</xdr:row>
      <xdr:rowOff>608442</xdr:rowOff>
    </xdr:to>
    <xdr:sp macro="" textlink="">
      <xdr:nvSpPr>
        <xdr:cNvPr id="13" name="Flèche : pentagone 12">
          <a:hlinkClick xmlns:r="http://schemas.openxmlformats.org/officeDocument/2006/relationships" r:id="rId2"/>
          <a:extLst>
            <a:ext uri="{FF2B5EF4-FFF2-40B4-BE49-F238E27FC236}">
              <a16:creationId xmlns:a16="http://schemas.microsoft.com/office/drawing/2014/main" id="{4AE40242-6A2F-4498-B0E0-70FE93468D0D}"/>
            </a:ext>
          </a:extLst>
        </xdr:cNvPr>
        <xdr:cNvSpPr/>
      </xdr:nvSpPr>
      <xdr:spPr>
        <a:xfrm>
          <a:off x="1605280" y="91440"/>
          <a:ext cx="1620000" cy="517002"/>
        </a:xfrm>
        <a:prstGeom prst="homePlate">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0">
              <a:solidFill>
                <a:schemeClr val="tx1"/>
              </a:solidFill>
            </a:rPr>
            <a:t>Toutes les structures de</a:t>
          </a:r>
          <a:r>
            <a:rPr lang="fr-FR" sz="1100" b="0" baseline="0">
              <a:solidFill>
                <a:schemeClr val="tx1"/>
              </a:solidFill>
            </a:rPr>
            <a:t> la région</a:t>
          </a:r>
          <a:endParaRPr lang="fr-FR" sz="1100" b="0">
            <a:solidFill>
              <a:schemeClr val="tx1"/>
            </a:solidFill>
          </a:endParaRPr>
        </a:p>
      </xdr:txBody>
    </xdr:sp>
    <xdr:clientData/>
  </xdr:twoCellAnchor>
  <xdr:twoCellAnchor>
    <xdr:from>
      <xdr:col>3</xdr:col>
      <xdr:colOff>2076067</xdr:colOff>
      <xdr:row>0</xdr:row>
      <xdr:rowOff>91440</xdr:rowOff>
    </xdr:from>
    <xdr:to>
      <xdr:col>4</xdr:col>
      <xdr:colOff>1064627</xdr:colOff>
      <xdr:row>0</xdr:row>
      <xdr:rowOff>608443</xdr:rowOff>
    </xdr:to>
    <xdr:sp macro="" textlink="">
      <xdr:nvSpPr>
        <xdr:cNvPr id="14" name="Flèche : chevron 13">
          <a:hlinkClick xmlns:r="http://schemas.openxmlformats.org/officeDocument/2006/relationships" r:id="rId3"/>
          <a:extLst>
            <a:ext uri="{FF2B5EF4-FFF2-40B4-BE49-F238E27FC236}">
              <a16:creationId xmlns:a16="http://schemas.microsoft.com/office/drawing/2014/main" id="{F14FE261-54C3-4E96-9840-058CAD062E59}"/>
            </a:ext>
          </a:extLst>
        </xdr:cNvPr>
        <xdr:cNvSpPr/>
      </xdr:nvSpPr>
      <xdr:spPr>
        <a:xfrm>
          <a:off x="6079107"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Jura (39)</a:t>
          </a:r>
        </a:p>
      </xdr:txBody>
    </xdr:sp>
    <xdr:clientData/>
  </xdr:twoCellAnchor>
  <xdr:twoCellAnchor>
    <xdr:from>
      <xdr:col>4</xdr:col>
      <xdr:colOff>997935</xdr:colOff>
      <xdr:row>0</xdr:row>
      <xdr:rowOff>91440</xdr:rowOff>
    </xdr:from>
    <xdr:to>
      <xdr:col>5</xdr:col>
      <xdr:colOff>850095</xdr:colOff>
      <xdr:row>0</xdr:row>
      <xdr:rowOff>608443</xdr:rowOff>
    </xdr:to>
    <xdr:sp macro="" textlink="">
      <xdr:nvSpPr>
        <xdr:cNvPr id="15" name="Flèche : chevron 14">
          <a:hlinkClick xmlns:r="http://schemas.openxmlformats.org/officeDocument/2006/relationships" r:id="rId4"/>
          <a:extLst>
            <a:ext uri="{FF2B5EF4-FFF2-40B4-BE49-F238E27FC236}">
              <a16:creationId xmlns:a16="http://schemas.microsoft.com/office/drawing/2014/main" id="{3B9941B6-A790-4E4D-A465-32DA3B0263E2}"/>
            </a:ext>
          </a:extLst>
        </xdr:cNvPr>
        <xdr:cNvSpPr/>
      </xdr:nvSpPr>
      <xdr:spPr>
        <a:xfrm>
          <a:off x="7632415"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Nièvre (58)</a:t>
          </a:r>
          <a:r>
            <a:rPr lang="fr-FR" sz="900">
              <a:solidFill>
                <a:schemeClr val="tx1"/>
              </a:solidFill>
            </a:rPr>
            <a:t> </a:t>
          </a:r>
        </a:p>
      </xdr:txBody>
    </xdr:sp>
    <xdr:clientData/>
  </xdr:twoCellAnchor>
  <xdr:twoCellAnchor>
    <xdr:from>
      <xdr:col>3</xdr:col>
      <xdr:colOff>611046</xdr:colOff>
      <xdr:row>0</xdr:row>
      <xdr:rowOff>91440</xdr:rowOff>
    </xdr:from>
    <xdr:to>
      <xdr:col>3</xdr:col>
      <xdr:colOff>2231046</xdr:colOff>
      <xdr:row>0</xdr:row>
      <xdr:rowOff>608443</xdr:rowOff>
    </xdr:to>
    <xdr:sp macro="" textlink="">
      <xdr:nvSpPr>
        <xdr:cNvPr id="16" name="Flèche : chevron 15">
          <a:hlinkClick xmlns:r="http://schemas.openxmlformats.org/officeDocument/2006/relationships" r:id="rId5"/>
          <a:extLst>
            <a:ext uri="{FF2B5EF4-FFF2-40B4-BE49-F238E27FC236}">
              <a16:creationId xmlns:a16="http://schemas.microsoft.com/office/drawing/2014/main" id="{223CFF10-4229-4735-BEF1-AA1DCBE0536D}"/>
            </a:ext>
          </a:extLst>
        </xdr:cNvPr>
        <xdr:cNvSpPr/>
      </xdr:nvSpPr>
      <xdr:spPr>
        <a:xfrm>
          <a:off x="4614086"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effectLst/>
              <a:latin typeface="+mn-lt"/>
              <a:ea typeface="+mn-ea"/>
              <a:cs typeface="+mn-cs"/>
            </a:rPr>
            <a:t>Doubs (25)</a:t>
          </a:r>
          <a:endParaRPr lang="fr-FR" sz="900">
            <a:solidFill>
              <a:schemeClr val="tx1"/>
            </a:solidFill>
            <a:effectLst/>
          </a:endParaRPr>
        </a:p>
      </xdr:txBody>
    </xdr:sp>
    <xdr:clientData/>
  </xdr:twoCellAnchor>
  <xdr:twoCellAnchor>
    <xdr:from>
      <xdr:col>5</xdr:col>
      <xdr:colOff>714255</xdr:colOff>
      <xdr:row>0</xdr:row>
      <xdr:rowOff>91440</xdr:rowOff>
    </xdr:from>
    <xdr:to>
      <xdr:col>6</xdr:col>
      <xdr:colOff>88895</xdr:colOff>
      <xdr:row>0</xdr:row>
      <xdr:rowOff>608443</xdr:rowOff>
    </xdr:to>
    <xdr:sp macro="" textlink="">
      <xdr:nvSpPr>
        <xdr:cNvPr id="17" name="Flèche : chevron 16">
          <a:hlinkClick xmlns:r="http://schemas.openxmlformats.org/officeDocument/2006/relationships" r:id="rId6"/>
          <a:extLst>
            <a:ext uri="{FF2B5EF4-FFF2-40B4-BE49-F238E27FC236}">
              <a16:creationId xmlns:a16="http://schemas.microsoft.com/office/drawing/2014/main" id="{36CCF4DE-D4DC-4290-818F-2863595CA575}"/>
            </a:ext>
          </a:extLst>
        </xdr:cNvPr>
        <xdr:cNvSpPr/>
      </xdr:nvSpPr>
      <xdr:spPr>
        <a:xfrm>
          <a:off x="9116575"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Haute-Saône (70)</a:t>
          </a:r>
        </a:p>
      </xdr:txBody>
    </xdr:sp>
    <xdr:clientData/>
  </xdr:twoCellAnchor>
  <xdr:twoCellAnchor>
    <xdr:from>
      <xdr:col>2</xdr:col>
      <xdr:colOff>1490839</xdr:colOff>
      <xdr:row>0</xdr:row>
      <xdr:rowOff>91440</xdr:rowOff>
    </xdr:from>
    <xdr:to>
      <xdr:col>3</xdr:col>
      <xdr:colOff>692759</xdr:colOff>
      <xdr:row>0</xdr:row>
      <xdr:rowOff>608443</xdr:rowOff>
    </xdr:to>
    <xdr:sp macro="" textlink="">
      <xdr:nvSpPr>
        <xdr:cNvPr id="18" name="Flèche : chevron 17">
          <a:hlinkClick xmlns:r="http://schemas.openxmlformats.org/officeDocument/2006/relationships" r:id="rId7"/>
          <a:extLst>
            <a:ext uri="{FF2B5EF4-FFF2-40B4-BE49-F238E27FC236}">
              <a16:creationId xmlns:a16="http://schemas.microsoft.com/office/drawing/2014/main" id="{CD393D22-96C8-4AD1-88E6-E8D58F849B14}"/>
            </a:ext>
          </a:extLst>
        </xdr:cNvPr>
        <xdr:cNvSpPr/>
      </xdr:nvSpPr>
      <xdr:spPr>
        <a:xfrm>
          <a:off x="3075799"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0">
              <a:solidFill>
                <a:schemeClr val="tx1"/>
              </a:solidFill>
            </a:rPr>
            <a:t>Côte-d'Or (21)</a:t>
          </a:r>
        </a:p>
      </xdr:txBody>
    </xdr:sp>
    <xdr:clientData/>
  </xdr:twoCellAnchor>
  <xdr:twoCellAnchor>
    <xdr:from>
      <xdr:col>5</xdr:col>
      <xdr:colOff>2204541</xdr:colOff>
      <xdr:row>0</xdr:row>
      <xdr:rowOff>91440</xdr:rowOff>
    </xdr:from>
    <xdr:to>
      <xdr:col>6</xdr:col>
      <xdr:colOff>1579181</xdr:colOff>
      <xdr:row>0</xdr:row>
      <xdr:rowOff>608443</xdr:rowOff>
    </xdr:to>
    <xdr:sp macro="" textlink="">
      <xdr:nvSpPr>
        <xdr:cNvPr id="19" name="Flèche : chevron 18">
          <a:hlinkClick xmlns:r="http://schemas.openxmlformats.org/officeDocument/2006/relationships" r:id="rId8"/>
          <a:extLst>
            <a:ext uri="{FF2B5EF4-FFF2-40B4-BE49-F238E27FC236}">
              <a16:creationId xmlns:a16="http://schemas.microsoft.com/office/drawing/2014/main" id="{C8146725-DA4D-4B17-A80E-2EF8EC7587DB}"/>
            </a:ext>
          </a:extLst>
        </xdr:cNvPr>
        <xdr:cNvSpPr/>
      </xdr:nvSpPr>
      <xdr:spPr>
        <a:xfrm>
          <a:off x="10606861"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Saône-et-Loire (71)</a:t>
          </a:r>
        </a:p>
      </xdr:txBody>
    </xdr:sp>
    <xdr:clientData/>
  </xdr:twoCellAnchor>
  <xdr:twoCellAnchor>
    <xdr:from>
      <xdr:col>6</xdr:col>
      <xdr:colOff>1434858</xdr:colOff>
      <xdr:row>0</xdr:row>
      <xdr:rowOff>91440</xdr:rowOff>
    </xdr:from>
    <xdr:to>
      <xdr:col>7</xdr:col>
      <xdr:colOff>900938</xdr:colOff>
      <xdr:row>0</xdr:row>
      <xdr:rowOff>608443</xdr:rowOff>
    </xdr:to>
    <xdr:sp macro="" textlink="">
      <xdr:nvSpPr>
        <xdr:cNvPr id="20" name="Flèche : chevron 19">
          <a:hlinkClick xmlns:r="http://schemas.openxmlformats.org/officeDocument/2006/relationships" r:id="rId9"/>
          <a:extLst>
            <a:ext uri="{FF2B5EF4-FFF2-40B4-BE49-F238E27FC236}">
              <a16:creationId xmlns:a16="http://schemas.microsoft.com/office/drawing/2014/main" id="{90707758-F374-41E8-A1D1-4743F139AAC4}"/>
            </a:ext>
          </a:extLst>
        </xdr:cNvPr>
        <xdr:cNvSpPr/>
      </xdr:nvSpPr>
      <xdr:spPr>
        <a:xfrm>
          <a:off x="12082538" y="91440"/>
          <a:ext cx="1620000" cy="517003"/>
        </a:xfrm>
        <a:prstGeom prst="chevron">
          <a:avLst/>
        </a:prstGeom>
        <a:solidFill>
          <a:srgbClr val="B887D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Yonne (89)</a:t>
          </a:r>
        </a:p>
      </xdr:txBody>
    </xdr:sp>
    <xdr:clientData/>
  </xdr:twoCellAnchor>
  <xdr:twoCellAnchor>
    <xdr:from>
      <xdr:col>7</xdr:col>
      <xdr:colOff>761937</xdr:colOff>
      <xdr:row>0</xdr:row>
      <xdr:rowOff>91440</xdr:rowOff>
    </xdr:from>
    <xdr:to>
      <xdr:col>8</xdr:col>
      <xdr:colOff>990017</xdr:colOff>
      <xdr:row>0</xdr:row>
      <xdr:rowOff>608443</xdr:rowOff>
    </xdr:to>
    <xdr:sp macro="" textlink="">
      <xdr:nvSpPr>
        <xdr:cNvPr id="21" name="Flèche : chevron 20">
          <a:hlinkClick xmlns:r="http://schemas.openxmlformats.org/officeDocument/2006/relationships" r:id="rId10"/>
          <a:extLst>
            <a:ext uri="{FF2B5EF4-FFF2-40B4-BE49-F238E27FC236}">
              <a16:creationId xmlns:a16="http://schemas.microsoft.com/office/drawing/2014/main" id="{FBC277A9-DA6B-4AA5-A121-7ADE0E5D2426}"/>
            </a:ext>
          </a:extLst>
        </xdr:cNvPr>
        <xdr:cNvSpPr/>
      </xdr:nvSpPr>
      <xdr:spPr>
        <a:xfrm>
          <a:off x="13563537"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Territoire</a:t>
          </a:r>
          <a:r>
            <a:rPr lang="fr-FR" sz="900" b="1" baseline="0">
              <a:solidFill>
                <a:schemeClr val="tx1"/>
              </a:solidFill>
            </a:rPr>
            <a:t> de Belfort (90)</a:t>
          </a:r>
          <a:endParaRPr lang="fr-FR" sz="900" b="1">
            <a:solidFill>
              <a:schemeClr val="tx1"/>
            </a:solidFill>
          </a:endParaRPr>
        </a:p>
      </xdr:txBody>
    </xdr:sp>
    <xdr:clientData/>
  </xdr:twoCellAnchor>
  <xdr:twoCellAnchor>
    <xdr:from>
      <xdr:col>8</xdr:col>
      <xdr:colOff>856887</xdr:colOff>
      <xdr:row>0</xdr:row>
      <xdr:rowOff>91440</xdr:rowOff>
    </xdr:from>
    <xdr:to>
      <xdr:col>9</xdr:col>
      <xdr:colOff>48647</xdr:colOff>
      <xdr:row>0</xdr:row>
      <xdr:rowOff>608443</xdr:rowOff>
    </xdr:to>
    <xdr:sp macro="" textlink="">
      <xdr:nvSpPr>
        <xdr:cNvPr id="22" name="Flèche : chevron 21">
          <a:hlinkClick xmlns:r="http://schemas.openxmlformats.org/officeDocument/2006/relationships" r:id="rId11"/>
          <a:extLst>
            <a:ext uri="{FF2B5EF4-FFF2-40B4-BE49-F238E27FC236}">
              <a16:creationId xmlns:a16="http://schemas.microsoft.com/office/drawing/2014/main" id="{ABA4DA34-8053-4D96-A651-C4F24EA1003D}"/>
            </a:ext>
          </a:extLst>
        </xdr:cNvPr>
        <xdr:cNvSpPr/>
      </xdr:nvSpPr>
      <xdr:spPr>
        <a:xfrm>
          <a:off x="15050407" y="91440"/>
          <a:ext cx="1620000" cy="517003"/>
        </a:xfrm>
        <a:prstGeom prst="chevron">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tx1"/>
              </a:solidFill>
            </a:rPr>
            <a:t>Intervention</a:t>
          </a:r>
          <a:r>
            <a:rPr lang="fr-FR" sz="900" b="1" baseline="0">
              <a:solidFill>
                <a:schemeClr val="tx1"/>
              </a:solidFill>
            </a:rPr>
            <a:t> en Nord-Franche-Comté</a:t>
          </a:r>
          <a:endParaRPr lang="fr-FR" sz="900" b="1">
            <a:solidFill>
              <a:schemeClr val="tx1"/>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Payet, Salome" id="{FE76523A-C084-4FB2-AA65-2FDFA8501FDD}" userId="S::spayet@kpmg.fr::ae863728-9168-40d4-b292-639a21bce026" providerId="AD"/>
</personList>
</file>

<file path=xl/tables/table1.xml><?xml version="1.0" encoding="utf-8"?>
<table xmlns="http://schemas.openxmlformats.org/spreadsheetml/2006/main" id="23" name="Tableau124" displayName="Tableau124" ref="B5:O244" totalsRowShown="0" headerRowDxfId="287" dataDxfId="285" headerRowBorderDxfId="286" tableBorderDxfId="284" totalsRowBorderDxfId="283">
  <autoFilter ref="B5:O244"/>
  <sortState ref="B6:O244">
    <sortCondition ref="H5:H244"/>
  </sortState>
  <tableColumns count="14">
    <tableColumn id="7" name="Référence" dataDxfId="282"/>
    <tableColumn id="1" name="Département" dataDxfId="281"/>
    <tableColumn id="11" name="Commune d'implantation de la structure" dataDxfId="280"/>
    <tableColumn id="2" name="Code postal" dataDxfId="279"/>
    <tableColumn id="3" name="Adresse" dataDxfId="278"/>
    <tableColumn id="4" name="Type de structure" dataDxfId="277"/>
    <tableColumn id="6" name="Nom de la structure" dataDxfId="276"/>
    <tableColumn id="8" name="Statut de la structure" dataDxfId="275"/>
    <tableColumn id="15" name="Mail" dataDxfId="274"/>
    <tableColumn id="9" name="Numéro de téléphone" dataDxfId="273"/>
    <tableColumn id="10" name="Site internet" dataDxfId="272"/>
    <tableColumn id="5" name="Jours et horaires" dataDxfId="271"/>
    <tableColumn id="12" name="Informations complémentaires" dataDxfId="270"/>
    <tableColumn id="13" name="NFC" dataDxfId="269"/>
  </tableColumns>
  <tableStyleInfo showFirstColumn="0" showLastColumn="0" showRowStripes="1" showColumnStripes="0"/>
</table>
</file>

<file path=xl/tables/table10.xml><?xml version="1.0" encoding="utf-8"?>
<table xmlns="http://schemas.openxmlformats.org/spreadsheetml/2006/main" id="22" name="Tableau22" displayName="Tableau22" ref="B5:M23" totalsRowShown="0" headerRowDxfId="144" dataDxfId="142" headerRowBorderDxfId="143" tableBorderDxfId="141">
  <autoFilter ref="B5:M23"/>
  <sortState ref="B6:M23">
    <sortCondition ref="G5:G23"/>
  </sortState>
  <tableColumns count="12">
    <tableColumn id="7" name="Colonne1" dataDxfId="140"/>
    <tableColumn id="2" name="Commune d'implantation de la structure" dataDxfId="139">
      <calculatedColumnFormula>VLOOKUP(Tableau22[[#This Row],[Colonne1]],Tableau124[#All],3,FALSE)</calculatedColumnFormula>
    </tableColumn>
    <tableColumn id="3" name="Code postal" dataDxfId="138">
      <calculatedColumnFormula>VLOOKUP(Tableau22[[#This Row],[Colonne1]],Tableau124[#All],4,FALSE)</calculatedColumnFormula>
    </tableColumn>
    <tableColumn id="4" name="Adresse" dataDxfId="137">
      <calculatedColumnFormula>VLOOKUP(Tableau22[[#This Row],[Colonne1]],Tableau124[#All],5,FALSE)</calculatedColumnFormula>
    </tableColumn>
    <tableColumn id="5" name="Type de structure" dataDxfId="136">
      <calculatedColumnFormula>VLOOKUP(Tableau22[[#This Row],[Colonne1]],Tableau124[#All],6,FALSE)</calculatedColumnFormula>
    </tableColumn>
    <tableColumn id="6" name="Nom de la structure" dataDxfId="135">
      <calculatedColumnFormula>VLOOKUP(Tableau22[[#This Row],[Colonne1]],Tableau124[#All],7,FALSE)</calculatedColumnFormula>
    </tableColumn>
    <tableColumn id="8" name="Statut de la structure" dataDxfId="134">
      <calculatedColumnFormula>VLOOKUP(Tableau22[[#This Row],[Colonne1]],Tableau124[#All],8,FALSE)</calculatedColumnFormula>
    </tableColumn>
    <tableColumn id="9" name="Mail" dataDxfId="133">
      <calculatedColumnFormula>VLOOKUP(Tableau22[[#This Row],[Colonne1]],Tableau124[#All],9,FALSE)</calculatedColumnFormula>
    </tableColumn>
    <tableColumn id="10" name="Numéro de téléphone" dataDxfId="132">
      <calculatedColumnFormula>VLOOKUP(Tableau22[[#This Row],[Colonne1]],Tableau124[#All],10,FALSE)</calculatedColumnFormula>
    </tableColumn>
    <tableColumn id="11" name="Site internet" dataDxfId="131">
      <calculatedColumnFormula>VLOOKUP(Tableau22[[#This Row],[Colonne1]],Tableau124[#All],11,FALSE)</calculatedColumnFormula>
    </tableColumn>
    <tableColumn id="12" name="Jours et horaires" dataDxfId="130">
      <calculatedColumnFormula>VLOOKUP(Tableau22[[#This Row],[Colonne1]],Tableau124[#All],12,FALSE)</calculatedColumnFormula>
    </tableColumn>
    <tableColumn id="13" name="Informations complémentaires" dataDxfId="129">
      <calculatedColumnFormula>VLOOKUP(Tableau22[[#This Row],[Colonne1]],Tableau124[#All],13,FALSE)</calculatedColumnFormula>
    </tableColumn>
  </tableColumns>
  <tableStyleInfo showFirstColumn="0" showLastColumn="0" showRowStripes="1" showColumnStripes="0"/>
</table>
</file>

<file path=xl/tables/table11.xml><?xml version="1.0" encoding="utf-8"?>
<table xmlns="http://schemas.openxmlformats.org/spreadsheetml/2006/main" id="3" name="Tableau14" displayName="Tableau14" ref="C4:Q29" totalsRowShown="0" headerRowDxfId="128" dataDxfId="126" headerRowBorderDxfId="127" tableBorderDxfId="125" totalsRowBorderDxfId="124">
  <autoFilter ref="C4:Q29"/>
  <tableColumns count="15">
    <tableColumn id="15" name="Département" dataDxfId="123"/>
    <tableColumn id="18" name="Commune" dataDxfId="122"/>
    <tableColumn id="17" name="Code postal" dataDxfId="121"/>
    <tableColumn id="16" name="Adresse" dataDxfId="120"/>
    <tableColumn id="13" name="Type de structure" dataDxfId="119"/>
    <tableColumn id="11" name="Nom de la structure" dataDxfId="118"/>
    <tableColumn id="5" name="Intervention Nord-Franche-Comte" dataDxfId="117"/>
    <tableColumn id="8" name="Statut structure" dataDxfId="116"/>
    <tableColumn id="4" name="Mail" dataDxfId="115"/>
    <tableColumn id="6" name="Téléphone" dataDxfId="114"/>
    <tableColumn id="7" name="Site" dataDxfId="113"/>
    <tableColumn id="10" name="Public" dataDxfId="112"/>
    <tableColumn id="12" name="Les lits sont :" dataDxfId="111"/>
    <tableColumn id="14" name="Unités mobilisées" dataDxfId="110"/>
    <tableColumn id="19" name="Informations complémentaires" dataDxfId="109"/>
  </tableColumns>
  <tableStyleInfo showFirstColumn="0" showLastColumn="0" showRowStripes="1" showColumnStripes="0"/>
</table>
</file>

<file path=xl/tables/table12.xml><?xml version="1.0" encoding="utf-8"?>
<table xmlns="http://schemas.openxmlformats.org/spreadsheetml/2006/main" id="4" name="Tableau135" displayName="Tableau135" ref="C4:P22" totalsRowShown="0" headerRowDxfId="108" dataDxfId="106" headerRowBorderDxfId="107" tableBorderDxfId="105" totalsRowBorderDxfId="104">
  <autoFilter ref="C4:P22"/>
  <tableColumns count="14">
    <tableColumn id="9" name="Département" dataDxfId="103"/>
    <tableColumn id="18" name="Commune" dataDxfId="102"/>
    <tableColumn id="17" name="Code postal" dataDxfId="101"/>
    <tableColumn id="16" name="Adresse" dataDxfId="100"/>
    <tableColumn id="14" name="Type de structure" dataDxfId="99"/>
    <tableColumn id="2" name="Nom de la structure" dataDxfId="98"/>
    <tableColumn id="15" name="Intervention Nord-Franche-Comte" dataDxfId="97"/>
    <tableColumn id="8" name="Statut structure" dataDxfId="96"/>
    <tableColumn id="5" name="Mail" dataDxfId="95"/>
    <tableColumn id="6" name="Téléphone" dataDxfId="94"/>
    <tableColumn id="7" name="Site" dataDxfId="93"/>
    <tableColumn id="11" name="Public" dataDxfId="92"/>
    <tableColumn id="12" name="L’unité d’hospitalisation pour soins complexes accueille également des patients pour des sevrages simples " dataDxfId="91"/>
    <tableColumn id="13" name="Informations complémentaires" dataDxfId="90"/>
  </tableColumns>
  <tableStyleInfo showFirstColumn="0" showLastColumn="0" showRowStripes="1" showColumnStripes="0"/>
</table>
</file>

<file path=xl/tables/table13.xml><?xml version="1.0" encoding="utf-8"?>
<table xmlns="http://schemas.openxmlformats.org/spreadsheetml/2006/main" id="15" name="Tableau13516" displayName="Tableau13516" ref="C4:O30" totalsRowShown="0" headerRowDxfId="89" dataDxfId="87" headerRowBorderDxfId="88" tableBorderDxfId="86" totalsRowBorderDxfId="85">
  <autoFilter ref="C4:O30"/>
  <tableColumns count="13">
    <tableColumn id="9" name="Département" dataDxfId="84"/>
    <tableColumn id="17" name="Commune" dataDxfId="83"/>
    <tableColumn id="16" name="Code postal" dataDxfId="82"/>
    <tableColumn id="15" name="Interventions" dataDxfId="81"/>
    <tableColumn id="14" name="Type de structure" dataDxfId="80"/>
    <tableColumn id="2" name="Nom de la structure" dataDxfId="79"/>
    <tableColumn id="12" name="Intervention Nord-Franche-Comte" dataDxfId="78"/>
    <tableColumn id="8" name="Statut structure" dataDxfId="77"/>
    <tableColumn id="5" name="Mail" dataDxfId="76"/>
    <tableColumn id="6" name="Téléphone de l'ELSA" dataDxfId="75"/>
    <tableColumn id="7" name="Site" dataDxfId="74"/>
    <tableColumn id="11" name="Public" dataDxfId="73"/>
    <tableColumn id="13" name="Informations complémentaires" dataDxfId="72"/>
  </tableColumns>
  <tableStyleInfo showFirstColumn="0" showLastColumn="0" showRowStripes="1" showColumnStripes="0"/>
</table>
</file>

<file path=xl/tables/table14.xml><?xml version="1.0" encoding="utf-8"?>
<table xmlns="http://schemas.openxmlformats.org/spreadsheetml/2006/main" id="13" name="Tableau13714" displayName="Tableau13714" ref="C4:P14" totalsRowShown="0" headerRowDxfId="71" dataDxfId="69" headerRowBorderDxfId="70" tableBorderDxfId="68" totalsRowBorderDxfId="67">
  <autoFilter ref="C4:P14"/>
  <tableColumns count="14">
    <tableColumn id="9" name="Département" dataDxfId="66"/>
    <tableColumn id="18" name="Commune" dataDxfId="65"/>
    <tableColumn id="17" name="Code postal" dataDxfId="64"/>
    <tableColumn id="16" name="Adresse de l'HDJ" dataDxfId="63"/>
    <tableColumn id="15" name="Type de structure" dataDxfId="62"/>
    <tableColumn id="2" name="Nom de la structure" dataDxfId="61"/>
    <tableColumn id="13" name="Intervention Nord-Franche-Comte" dataDxfId="60"/>
    <tableColumn id="8" name="Statut structure" dataDxfId="59"/>
    <tableColumn id="5" name="Mail" dataDxfId="58"/>
    <tableColumn id="6" name="Téléphone de l'HDJ" dataDxfId="57"/>
    <tableColumn id="7" name="Site" dataDxfId="56"/>
    <tableColumn id="12" name="Horaires" dataDxfId="55"/>
    <tableColumn id="11" name="Public" dataDxfId="54"/>
    <tableColumn id="14" name="Informations complémentaires" dataDxfId="53"/>
  </tableColumns>
  <tableStyleInfo showFirstColumn="0" showLastColumn="0" showRowStripes="1" showColumnStripes="0"/>
</table>
</file>

<file path=xl/tables/table15.xml><?xml version="1.0" encoding="utf-8"?>
<table xmlns="http://schemas.openxmlformats.org/spreadsheetml/2006/main" id="5" name="Tableau13714176" displayName="Tableau13714176" ref="C4:P7" totalsRowShown="0" headerRowDxfId="52" dataDxfId="50" headerRowBorderDxfId="51" tableBorderDxfId="49" totalsRowBorderDxfId="48">
  <autoFilter ref="C4:P7"/>
  <tableColumns count="14">
    <tableColumn id="9" name="Département" dataDxfId="47"/>
    <tableColumn id="17" name="Commune" dataDxfId="46"/>
    <tableColumn id="16" name="Code postal" dataDxfId="45"/>
    <tableColumn id="15" name="Etablissements pénitentiers concernés" dataDxfId="44"/>
    <tableColumn id="14" name="Nom de la structure" dataDxfId="43"/>
    <tableColumn id="1" name="Type de structure" dataDxfId="42"/>
    <tableColumn id="2" name="Intervention Nord-Franche-Comte" dataDxfId="41"/>
    <tableColumn id="8" name="Statut structure" dataDxfId="40"/>
    <tableColumn id="5" name="Mail" dataDxfId="39"/>
    <tableColumn id="6" name="Téléphone" dataDxfId="38"/>
    <tableColumn id="7" name="Site" dataDxfId="37"/>
    <tableColumn id="11" name="Type d'unité" dataDxfId="36"/>
    <tableColumn id="12" name="Niveau d'intervention" dataDxfId="35"/>
    <tableColumn id="18" name="Informations complémentaires" dataDxfId="34"/>
  </tableColumns>
  <tableStyleInfo showFirstColumn="0" showLastColumn="0" showRowStripes="1" showColumnStripes="0"/>
</table>
</file>

<file path=xl/tables/table16.xml><?xml version="1.0" encoding="utf-8"?>
<table xmlns="http://schemas.openxmlformats.org/spreadsheetml/2006/main" id="16" name="Tableau1371417" displayName="Tableau1371417" ref="C4:P11" totalsRowShown="0" headerRowDxfId="33" dataDxfId="31" headerRowBorderDxfId="32" tableBorderDxfId="30" totalsRowBorderDxfId="29">
  <autoFilter ref="C4:P11"/>
  <tableColumns count="14">
    <tableColumn id="9" name="Département" dataDxfId="28"/>
    <tableColumn id="18" name="Commune" dataDxfId="27"/>
    <tableColumn id="17" name="Code postal" dataDxfId="26"/>
    <tableColumn id="16" name="Adresse du SMRA" dataDxfId="25"/>
    <tableColumn id="15" name="Type de structure" dataDxfId="24"/>
    <tableColumn id="2" name="Nom de la structure" dataDxfId="23"/>
    <tableColumn id="13" name="Intervention Nord-Franche-Comte" dataDxfId="22"/>
    <tableColumn id="8" name="Statut structure" dataDxfId="21"/>
    <tableColumn id="5" name="Mail" dataDxfId="20"/>
    <tableColumn id="6" name="Téléphone du SMRA" dataDxfId="19"/>
    <tableColumn id="7" name="Site" dataDxfId="18"/>
    <tableColumn id="11" name="Public" dataDxfId="17"/>
    <tableColumn id="12" name="Le SMRA est-il spécialisé sur un type d’addiction ? " dataDxfId="16"/>
    <tableColumn id="14" name="Informations complémentaires" dataDxfId="15"/>
  </tableColumns>
  <tableStyleInfo showFirstColumn="0" showLastColumn="0" showRowStripes="1" showColumnStripes="0"/>
</table>
</file>

<file path=xl/tables/table17.xml><?xml version="1.0" encoding="utf-8"?>
<table xmlns="http://schemas.openxmlformats.org/spreadsheetml/2006/main" id="2" name="Tableau2" displayName="Tableau2" ref="B5:N166" totalsRowShown="0" headerRowDxfId="14" dataDxfId="13">
  <autoFilter ref="B5:N166"/>
  <sortState ref="B6:N166">
    <sortCondition ref="D5:D166"/>
  </sortState>
  <tableColumns count="13">
    <tableColumn id="1" name="Colonne1" dataDxfId="12"/>
    <tableColumn id="2" name="Département" dataDxfId="11">
      <calculatedColumnFormula>VLOOKUP(Tableau2[[#This Row],[Colonne1]],Tableau124[#All],2,FALSE)</calculatedColumnFormula>
    </tableColumn>
    <tableColumn id="3" name="Commune d'implantation de la structure" dataDxfId="10">
      <calculatedColumnFormula>VLOOKUP(Tableau2[[#This Row],[Colonne1]],Tableau124[#All],3,FALSE)</calculatedColumnFormula>
    </tableColumn>
    <tableColumn id="4" name="Code postal" dataDxfId="9">
      <calculatedColumnFormula>VLOOKUP(Tableau2[[#This Row],[Colonne1]],Tableau124[#All],4,FALSE)</calculatedColumnFormula>
    </tableColumn>
    <tableColumn id="5" name="Adresse" dataDxfId="8">
      <calculatedColumnFormula>VLOOKUP(Tableau2[[#This Row],[Colonne1]],Tableau124[#All],5,FALSE)</calculatedColumnFormula>
    </tableColumn>
    <tableColumn id="6" name="Type de structure" dataDxfId="7">
      <calculatedColumnFormula>VLOOKUP(Tableau2[[#This Row],[Colonne1]],Tableau124[#All],6,FALSE)</calculatedColumnFormula>
    </tableColumn>
    <tableColumn id="7" name="Nom de la structure" dataDxfId="6">
      <calculatedColumnFormula>VLOOKUP(Tableau2[[#This Row],[Colonne1]],Tableau124[#All],7,FALSE)</calculatedColumnFormula>
    </tableColumn>
    <tableColumn id="8" name="Statut de la structure" dataDxfId="5">
      <calculatedColumnFormula>VLOOKUP(Tableau2[[#This Row],[Colonne1]],Tableau124[#All],8,FALSE)</calculatedColumnFormula>
    </tableColumn>
    <tableColumn id="9" name="Mail" dataDxfId="4">
      <calculatedColumnFormula>VLOOKUP(Tableau2[[#This Row],[Colonne1]],Tableau124[#All],9,FALSE)</calculatedColumnFormula>
    </tableColumn>
    <tableColumn id="10" name="Numéro de téléphone" dataDxfId="3">
      <calculatedColumnFormula>VLOOKUP(Tableau2[[#This Row],[Colonne1]],Tableau124[#All],10,FALSE)</calculatedColumnFormula>
    </tableColumn>
    <tableColumn id="11" name="Site internet" dataDxfId="2" dataCellStyle="Lien hypertexte">
      <calculatedColumnFormula>VLOOKUP(Tableau2[[#This Row],[Colonne1]],Tableau124[#All],11,FALSE)</calculatedColumnFormula>
    </tableColumn>
    <tableColumn id="12" name="Jours et horaires" dataDxfId="1">
      <calculatedColumnFormula>VLOOKUP(Tableau2[[#This Row],[Colonne1]],Tableau124[#All],12,FALSE)</calculatedColumnFormula>
    </tableColumn>
    <tableColumn id="13" name="Informations complémentaires" dataDxfId="0">
      <calculatedColumnFormula>VLOOKUP(Tableau2[[#This Row],[Colonne1]],Tableau124[#All],13,FALSE)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9" name="Tableau9" displayName="Tableau9" ref="B5:N49" totalsRowShown="0" headerRowDxfId="268" headerRowBorderDxfId="267" tableBorderDxfId="266">
  <autoFilter ref="B5:N49"/>
  <sortState ref="B6:N49">
    <sortCondition ref="H5:H49"/>
  </sortState>
  <tableColumns count="13">
    <tableColumn id="13" name="Colonne1" dataDxfId="265"/>
    <tableColumn id="1" name="Département" dataDxfId="264">
      <calculatedColumnFormula>VLOOKUP(Tableau9[[#This Row],[Colonne1]],Tableau124[#All],2,FALSE)</calculatedColumnFormula>
    </tableColumn>
    <tableColumn id="2" name="Commune d'implantation de la structure" dataDxfId="263">
      <calculatedColumnFormula>VLOOKUP(Tableau9[[#This Row],[Colonne1]],Tableau124[#All],3,FALSE)</calculatedColumnFormula>
    </tableColumn>
    <tableColumn id="3" name="Code postal" dataDxfId="262">
      <calculatedColumnFormula>VLOOKUP(Tableau9[[#This Row],[Colonne1]],Tableau124[#All],4,FALSE)</calculatedColumnFormula>
    </tableColumn>
    <tableColumn id="4" name="Adresse" dataDxfId="261">
      <calculatedColumnFormula>VLOOKUP(Tableau9[[#This Row],[Colonne1]],Tableau124[#All],5,FALSE)</calculatedColumnFormula>
    </tableColumn>
    <tableColumn id="5" name="Type de structure" dataDxfId="260">
      <calculatedColumnFormula>VLOOKUP(Tableau9[[#This Row],[Colonne1]],Tableau124[#All],6,FALSE)</calculatedColumnFormula>
    </tableColumn>
    <tableColumn id="6" name="Nom de la structure" dataDxfId="259">
      <calculatedColumnFormula>VLOOKUP(Tableau9[[#This Row],[Colonne1]],Tableau124[#All],7,FALSE)</calculatedColumnFormula>
    </tableColumn>
    <tableColumn id="7" name="Statut de la structure" dataDxfId="258">
      <calculatedColumnFormula>VLOOKUP(Tableau9[[#This Row],[Colonne1]],Tableau124[#All],8,FALSE)</calculatedColumnFormula>
    </tableColumn>
    <tableColumn id="8" name="Mail" dataDxfId="257" dataCellStyle="Lien hypertexte">
      <calculatedColumnFormula>VLOOKUP(Tableau9[[#This Row],[Colonne1]],Tableau124[#All],9,FALSE)</calculatedColumnFormula>
    </tableColumn>
    <tableColumn id="9" name="Numéro de téléphone" dataDxfId="256">
      <calculatedColumnFormula>VLOOKUP(Tableau9[[#This Row],[Colonne1]],Tableau124[#All],10,FALSE)</calculatedColumnFormula>
    </tableColumn>
    <tableColumn id="10" name="Site internet" dataDxfId="255" dataCellStyle="Lien hypertexte">
      <calculatedColumnFormula>VLOOKUP(Tableau9[[#This Row],[Colonne1]],Tableau124[#All],11,FALSE)</calculatedColumnFormula>
    </tableColumn>
    <tableColumn id="11" name="Jours et horaires" dataDxfId="254">
      <calculatedColumnFormula>VLOOKUP(Tableau9[[#This Row],[Colonne1]],Tableau124[#All],12,FALSE)</calculatedColumnFormula>
    </tableColumn>
    <tableColumn id="12" name="Informations complémentaires" dataDxfId="253">
      <calculatedColumnFormula>VLOOKUP(Tableau9[[#This Row],[Colonne1]],Tableau124[#All],13,FALSE)</calculatedColumnFormula>
    </tableColumn>
  </tableColumns>
  <tableStyleInfo showFirstColumn="0" showLastColumn="0" showRowStripes="1" showColumnStripes="0"/>
</table>
</file>

<file path=xl/tables/table3.xml><?xml version="1.0" encoding="utf-8"?>
<table xmlns="http://schemas.openxmlformats.org/spreadsheetml/2006/main" id="12" name="Tableau12" displayName="Tableau12" ref="B5:N32" totalsRowShown="0" headerRowDxfId="252" headerRowBorderDxfId="251" tableBorderDxfId="250">
  <autoFilter ref="B5:N32"/>
  <sortState ref="B6:N31">
    <sortCondition ref="H5:H31"/>
  </sortState>
  <tableColumns count="13">
    <tableColumn id="13" name="Colonne1" dataDxfId="249"/>
    <tableColumn id="1" name="Département" dataDxfId="248">
      <calculatedColumnFormula>VLOOKUP(Tableau12[[#This Row],[Colonne1]],Tableau124[#All],2,FALSE)</calculatedColumnFormula>
    </tableColumn>
    <tableColumn id="2" name="Commune d'implantation de la structure" dataDxfId="247">
      <calculatedColumnFormula>VLOOKUP(Tableau12[[#This Row],[Colonne1]],Tableau124[#All],3,FALSE)</calculatedColumnFormula>
    </tableColumn>
    <tableColumn id="3" name="Code postal" dataDxfId="246">
      <calculatedColumnFormula>VLOOKUP(Tableau12[[#This Row],[Colonne1]],Tableau124[#All],4,FALSE)</calculatedColumnFormula>
    </tableColumn>
    <tableColumn id="4" name="Adresse" dataDxfId="245">
      <calculatedColumnFormula>VLOOKUP(Tableau12[[#This Row],[Colonne1]],Tableau124[#All],5,FALSE)</calculatedColumnFormula>
    </tableColumn>
    <tableColumn id="5" name="Type de structure" dataDxfId="244">
      <calculatedColumnFormula>VLOOKUP(Tableau12[[#This Row],[Colonne1]],Tableau124[#All],6,FALSE)</calculatedColumnFormula>
    </tableColumn>
    <tableColumn id="6" name="Nom de la structure" dataDxfId="243">
      <calculatedColumnFormula>VLOOKUP(Tableau12[[#This Row],[Colonne1]],Tableau124[#All],7,FALSE)</calculatedColumnFormula>
    </tableColumn>
    <tableColumn id="7" name="Statut de la structure" dataDxfId="242">
      <calculatedColumnFormula>VLOOKUP(Tableau12[[#This Row],[Colonne1]],Tableau124[#All],8,FALSE)</calculatedColumnFormula>
    </tableColumn>
    <tableColumn id="8" name="Mail" dataDxfId="241" dataCellStyle="Lien hypertexte">
      <calculatedColumnFormula>VLOOKUP(Tableau12[[#This Row],[Colonne1]],Tableau124[#All],9,FALSE)</calculatedColumnFormula>
    </tableColumn>
    <tableColumn id="9" name="Numéro de téléphone" dataDxfId="240">
      <calculatedColumnFormula>VLOOKUP(Tableau12[[#This Row],[Colonne1]],Tableau124[#All],10,FALSE)</calculatedColumnFormula>
    </tableColumn>
    <tableColumn id="10" name="Site internet" dataDxfId="239">
      <calculatedColumnFormula>VLOOKUP(Tableau12[[#This Row],[Colonne1]],Tableau124[#All],11,FALSE)</calculatedColumnFormula>
    </tableColumn>
    <tableColumn id="11" name="Jours et horaires" dataDxfId="238">
      <calculatedColumnFormula>VLOOKUP(Tableau12[[#This Row],[Colonne1]],Tableau124[#All],12,FALSE)</calculatedColumnFormula>
    </tableColumn>
    <tableColumn id="12" name="Informations complémentaires" dataDxfId="237">
      <calculatedColumnFormula>VLOOKUP(Tableau12[[#This Row],[Colonne1]],Tableau124[#All],13,FALSE)</calculatedColumnFormula>
    </tableColumn>
  </tableColumns>
  <tableStyleInfo showFirstColumn="0" showLastColumn="0" showRowStripes="1" showColumnStripes="0"/>
</table>
</file>

<file path=xl/tables/table4.xml><?xml version="1.0" encoding="utf-8"?>
<table xmlns="http://schemas.openxmlformats.org/spreadsheetml/2006/main" id="8" name="Tableau8" displayName="Tableau8" ref="B5:N24" totalsRowShown="0" headerRowDxfId="236" tableBorderDxfId="235">
  <autoFilter ref="B5:N24"/>
  <sortState ref="B6:N24">
    <sortCondition ref="H5:H24"/>
  </sortState>
  <tableColumns count="13">
    <tableColumn id="1" name="Colonne1" dataDxfId="234"/>
    <tableColumn id="2" name="Département" dataDxfId="233">
      <calculatedColumnFormula>VLOOKUP(Tableau8[[#This Row],[Colonne1]],Tableau124[#All],2,FALSE)</calculatedColumnFormula>
    </tableColumn>
    <tableColumn id="3" name="Commune d'implantation de la structure" dataDxfId="232">
      <calculatedColumnFormula>VLOOKUP(Tableau8[[#This Row],[Colonne1]],Tableau124[#All],3,FALSE)</calculatedColumnFormula>
    </tableColumn>
    <tableColumn id="4" name="Code postal" dataDxfId="231">
      <calculatedColumnFormula>VLOOKUP(Tableau8[[#This Row],[Colonne1]],Tableau124[#All],4,FALSE)</calculatedColumnFormula>
    </tableColumn>
    <tableColumn id="5" name="Adresse" dataDxfId="230">
      <calculatedColumnFormula>VLOOKUP(Tableau8[[#This Row],[Colonne1]],Tableau124[#All],5,FALSE)</calculatedColumnFormula>
    </tableColumn>
    <tableColumn id="6" name="Type de structure" dataDxfId="229">
      <calculatedColumnFormula>VLOOKUP(Tableau8[[#This Row],[Colonne1]],Tableau124[#All],6,FALSE)</calculatedColumnFormula>
    </tableColumn>
    <tableColumn id="7" name="Nom de la structure" dataDxfId="228">
      <calculatedColumnFormula>VLOOKUP(Tableau8[[#This Row],[Colonne1]],Tableau124[#All],7,FALSE)</calculatedColumnFormula>
    </tableColumn>
    <tableColumn id="8" name="Statut de la structure" dataDxfId="227">
      <calculatedColumnFormula>VLOOKUP(Tableau8[[#This Row],[Colonne1]],Tableau124[#All],8,FALSE)</calculatedColumnFormula>
    </tableColumn>
    <tableColumn id="9" name="Mail" dataDxfId="226">
      <calculatedColumnFormula>VLOOKUP(Tableau8[[#This Row],[Colonne1]],Tableau124[#All],9,FALSE)</calculatedColumnFormula>
    </tableColumn>
    <tableColumn id="10" name="Numéro de téléphone" dataDxfId="225">
      <calculatedColumnFormula>VLOOKUP(Tableau8[[#This Row],[Colonne1]],Tableau124[#All],10,FALSE)</calculatedColumnFormula>
    </tableColumn>
    <tableColumn id="11" name="Site internet" dataDxfId="224">
      <calculatedColumnFormula>VLOOKUP(Tableau8[[#This Row],[Colonne1]],Tableau124[#All],11,FALSE)</calculatedColumnFormula>
    </tableColumn>
    <tableColumn id="12" name="Jours et horaires" dataDxfId="223">
      <calculatedColumnFormula>VLOOKUP(Tableau8[[#This Row],[Colonne1]],Tableau124[#All],12,FALSE)</calculatedColumnFormula>
    </tableColumn>
    <tableColumn id="13" name="Informations complémentaires" dataDxfId="222">
      <calculatedColumnFormula>VLOOKUP(Tableau8[[#This Row],[Colonne1]],Tableau124[#All],13,FALSE)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1" name="Tableau11" displayName="Tableau11" ref="B5:N48" totalsRowShown="0" headerRowDxfId="221" headerRowBorderDxfId="220" tableBorderDxfId="219">
  <autoFilter ref="B5:N48"/>
  <sortState ref="B6:N48">
    <sortCondition ref="G5:G48"/>
  </sortState>
  <tableColumns count="13">
    <tableColumn id="13" name="Colonne1" dataDxfId="218"/>
    <tableColumn id="1" name="Département" dataDxfId="217">
      <calculatedColumnFormula>VLOOKUP(Tableau11[[#This Row],[Colonne1]],Tableau124[#All],2,FALSE)</calculatedColumnFormula>
    </tableColumn>
    <tableColumn id="2" name="Commune d'implantation de la structure" dataDxfId="216">
      <calculatedColumnFormula>VLOOKUP(Tableau11[[#This Row],[Colonne1]],Tableau124[#All],3,FALSE)</calculatedColumnFormula>
    </tableColumn>
    <tableColumn id="3" name="Code postal" dataDxfId="215">
      <calculatedColumnFormula>VLOOKUP(Tableau11[[#This Row],[Colonne1]],Tableau124[#All],4,FALSE)</calculatedColumnFormula>
    </tableColumn>
    <tableColumn id="4" name="Adresse" dataDxfId="214">
      <calculatedColumnFormula>VLOOKUP(Tableau11[[#This Row],[Colonne1]],Tableau124[#All],5,FALSE)</calculatedColumnFormula>
    </tableColumn>
    <tableColumn id="5" name="Type de structure" dataDxfId="213">
      <calculatedColumnFormula>VLOOKUP(Tableau11[[#This Row],[Colonne1]],Tableau124[#All],6,FALSE)</calculatedColumnFormula>
    </tableColumn>
    <tableColumn id="6" name="Nom de la structure" dataDxfId="212">
      <calculatedColumnFormula>VLOOKUP(Tableau11[[#This Row],[Colonne1]],Tableau124[#All],7,FALSE)</calculatedColumnFormula>
    </tableColumn>
    <tableColumn id="7" name="Statut de la structure" dataDxfId="211">
      <calculatedColumnFormula>VLOOKUP(Tableau11[[#This Row],[Colonne1]],Tableau124[#All],8,FALSE)</calculatedColumnFormula>
    </tableColumn>
    <tableColumn id="8" name="Mail" dataDxfId="210" dataCellStyle="Lien hypertexte">
      <calculatedColumnFormula>VLOOKUP(Tableau11[[#This Row],[Colonne1]],Tableau124[#All],9,FALSE)</calculatedColumnFormula>
    </tableColumn>
    <tableColumn id="9" name="Numéro de téléphone" dataDxfId="209">
      <calculatedColumnFormula>VLOOKUP(Tableau11[[#This Row],[Colonne1]],Tableau124[#All],10,FALSE)</calculatedColumnFormula>
    </tableColumn>
    <tableColumn id="10" name="Site internet" dataDxfId="208">
      <calculatedColumnFormula>VLOOKUP(Tableau11[[#This Row],[Colonne1]],Tableau124[#All],11,FALSE)</calculatedColumnFormula>
    </tableColumn>
    <tableColumn id="11" name="Jours et horaires" dataDxfId="207">
      <calculatedColumnFormula>VLOOKUP(Tableau11[[#This Row],[Colonne1]],Tableau124[#All],12,FALSE)</calculatedColumnFormula>
    </tableColumn>
    <tableColumn id="12" name="Informations complémentaires" dataDxfId="206">
      <calculatedColumnFormula>VLOOKUP(Tableau11[[#This Row],[Colonne1]],Tableau124[#All],13,FALSE)</calculatedColumnFormula>
    </tableColumn>
  </tableColumns>
  <tableStyleInfo showFirstColumn="0" showLastColumn="0" showRowStripes="1" showColumnStripes="0"/>
</table>
</file>

<file path=xl/tables/table6.xml><?xml version="1.0" encoding="utf-8"?>
<table xmlns="http://schemas.openxmlformats.org/spreadsheetml/2006/main" id="10" name="Tableau10" displayName="Tableau10" ref="B5:N37" totalsRowShown="0" headerRowDxfId="205" tableBorderDxfId="204">
  <autoFilter ref="B5:N37"/>
  <sortState ref="B6:N36">
    <sortCondition ref="H5:H36"/>
  </sortState>
  <tableColumns count="13">
    <tableColumn id="1" name="Colonne1" dataDxfId="203"/>
    <tableColumn id="2" name="Département" dataDxfId="202">
      <calculatedColumnFormula>VLOOKUP(Tableau10[[#This Row],[Colonne1]],Tableau124[#All],2,FALSE)</calculatedColumnFormula>
    </tableColumn>
    <tableColumn id="3" name="Commune d'implantation de la structure" dataDxfId="201">
      <calculatedColumnFormula>VLOOKUP(Tableau10[[#This Row],[Colonne1]],Tableau124[#All],3,FALSE)</calculatedColumnFormula>
    </tableColumn>
    <tableColumn id="4" name="Code postal" dataDxfId="200">
      <calculatedColumnFormula>VLOOKUP(Tableau10[[#This Row],[Colonne1]],Tableau124[#All],4,FALSE)</calculatedColumnFormula>
    </tableColumn>
    <tableColumn id="5" name="Adresse" dataDxfId="199">
      <calculatedColumnFormula>VLOOKUP(Tableau10[[#This Row],[Colonne1]],Tableau124[#All],5,FALSE)</calculatedColumnFormula>
    </tableColumn>
    <tableColumn id="6" name="Type de structure" dataDxfId="198">
      <calculatedColumnFormula>VLOOKUP(Tableau10[[#This Row],[Colonne1]],Tableau124[#All],6,FALSE)</calculatedColumnFormula>
    </tableColumn>
    <tableColumn id="7" name="Nom de la structure" dataDxfId="197">
      <calculatedColumnFormula>VLOOKUP(Tableau10[[#This Row],[Colonne1]],Tableau124[#All],7,FALSE)</calculatedColumnFormula>
    </tableColumn>
    <tableColumn id="8" name="Statut de la structure" dataDxfId="196">
      <calculatedColumnFormula>VLOOKUP(Tableau10[[#This Row],[Colonne1]],Tableau124[#All],8,FALSE)</calculatedColumnFormula>
    </tableColumn>
    <tableColumn id="9" name="Mail" dataDxfId="195">
      <calculatedColumnFormula>VLOOKUP(Tableau10[[#This Row],[Colonne1]],Tableau124[#All],9,FALSE)</calculatedColumnFormula>
    </tableColumn>
    <tableColumn id="10" name="Numéro de téléphone" dataDxfId="194">
      <calculatedColumnFormula>VLOOKUP(Tableau10[[#This Row],[Colonne1]],Tableau124[#All],10,FALSE)</calculatedColumnFormula>
    </tableColumn>
    <tableColumn id="11" name="Site internet" dataDxfId="193">
      <calculatedColumnFormula>VLOOKUP(Tableau10[[#This Row],[Colonne1]],Tableau124[#All],11,FALSE)</calculatedColumnFormula>
    </tableColumn>
    <tableColumn id="12" name="Jours et horaires" dataDxfId="192">
      <calculatedColumnFormula>VLOOKUP(Tableau10[[#This Row],[Colonne1]],Tableau124[#All],12,FALSE)</calculatedColumnFormula>
    </tableColumn>
    <tableColumn id="13" name="Informations complémentaires" dataDxfId="191">
      <calculatedColumnFormula>VLOOKUP(Tableau10[[#This Row],[Colonne1]],Tableau124[#All],13,FALSE)</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14" name="Tableau15" displayName="Tableau15" ref="B5:N37" totalsRowShown="0" headerRowDxfId="190" tableBorderDxfId="189">
  <autoFilter ref="B5:N37"/>
  <sortState ref="B6:N37">
    <sortCondition ref="H5:H37"/>
  </sortState>
  <tableColumns count="13">
    <tableColumn id="1" name="Colonne1" dataDxfId="188"/>
    <tableColumn id="2" name="Département" dataDxfId="187">
      <calculatedColumnFormula>VLOOKUP(Tableau15[[#This Row],[Colonne1]],Tableau124[#All],2,FALSE)</calculatedColumnFormula>
    </tableColumn>
    <tableColumn id="3" name="Commune d'implantation de la structure" dataDxfId="186">
      <calculatedColumnFormula>VLOOKUP(Tableau15[[#This Row],[Colonne1]],Tableau124[#All],3,FALSE)</calculatedColumnFormula>
    </tableColumn>
    <tableColumn id="4" name="Code postal" dataDxfId="185">
      <calculatedColumnFormula>VLOOKUP(Tableau15[[#This Row],[Colonne1]],Tableau124[#All],4,FALSE)</calculatedColumnFormula>
    </tableColumn>
    <tableColumn id="5" name="Adresse" dataDxfId="184">
      <calculatedColumnFormula>VLOOKUP(Tableau15[[#This Row],[Colonne1]],Tableau124[#All],5,FALSE)</calculatedColumnFormula>
    </tableColumn>
    <tableColumn id="6" name="Type de structure" dataDxfId="183">
      <calculatedColumnFormula>VLOOKUP(Tableau15[[#This Row],[Colonne1]],Tableau124[#All],6,FALSE)</calculatedColumnFormula>
    </tableColumn>
    <tableColumn id="7" name="Nom de la structure" dataDxfId="182">
      <calculatedColumnFormula>VLOOKUP(Tableau15[[#This Row],[Colonne1]],Tableau124[#All],7,FALSE)</calculatedColumnFormula>
    </tableColumn>
    <tableColumn id="8" name="Statut de la structure" dataDxfId="181">
      <calculatedColumnFormula>VLOOKUP(Tableau15[[#This Row],[Colonne1]],Tableau124[#All],8,FALSE)</calculatedColumnFormula>
    </tableColumn>
    <tableColumn id="9" name="Mail" dataDxfId="180">
      <calculatedColumnFormula>VLOOKUP(Tableau15[[#This Row],[Colonne1]],Tableau124[#All],9,FALSE)</calculatedColumnFormula>
    </tableColumn>
    <tableColumn id="10" name="Numéro de téléphone" dataDxfId="179">
      <calculatedColumnFormula>VLOOKUP(Tableau15[[#This Row],[Colonne1]],Tableau124[#All],10,FALSE)</calculatedColumnFormula>
    </tableColumn>
    <tableColumn id="11" name="Site internet" dataDxfId="178">
      <calculatedColumnFormula>VLOOKUP(Tableau15[[#This Row],[Colonne1]],Tableau124[#All],11,FALSE)</calculatedColumnFormula>
    </tableColumn>
    <tableColumn id="12" name="Jours et horaires" dataDxfId="177">
      <calculatedColumnFormula>VLOOKUP(Tableau15[[#This Row],[Colonne1]],Tableau124[#All],12,FALSE)</calculatedColumnFormula>
    </tableColumn>
    <tableColumn id="13" name="Informations complémentaires" dataDxfId="176">
      <calculatedColumnFormula>VLOOKUP(Tableau15[[#This Row],[Colonne1]],Tableau124[#All],13,FALSE)</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17" name="Tableau17" displayName="Tableau17" ref="B5:N39" totalsRowShown="0" headerRowDxfId="175" tableBorderDxfId="174">
  <autoFilter ref="B5:N39"/>
  <sortState ref="B6:N39">
    <sortCondition ref="H5:H39"/>
  </sortState>
  <tableColumns count="13">
    <tableColumn id="1" name="Colonne1" dataDxfId="173"/>
    <tableColumn id="2" name="Département" dataDxfId="172">
      <calculatedColumnFormula>VLOOKUP(Tableau17[[#This Row],[Colonne1]],Tableau124[#All],2,FALSE)</calculatedColumnFormula>
    </tableColumn>
    <tableColumn id="3" name="Commune d'implantation de la structure" dataDxfId="171">
      <calculatedColumnFormula>VLOOKUP(Tableau17[[#This Row],[Colonne1]],Tableau124[#All],3,FALSE)</calculatedColumnFormula>
    </tableColumn>
    <tableColumn id="4" name="Code postal" dataDxfId="170">
      <calculatedColumnFormula>VLOOKUP(Tableau17[[#This Row],[Colonne1]],Tableau124[#All],4,FALSE)</calculatedColumnFormula>
    </tableColumn>
    <tableColumn id="5" name="Adresse" dataDxfId="169">
      <calculatedColumnFormula>VLOOKUP(Tableau17[[#This Row],[Colonne1]],Tableau124[#All],5,FALSE)</calculatedColumnFormula>
    </tableColumn>
    <tableColumn id="6" name="Type de structure" dataDxfId="168">
      <calculatedColumnFormula>VLOOKUP(Tableau17[[#This Row],[Colonne1]],Tableau124[#All],6,FALSE)</calculatedColumnFormula>
    </tableColumn>
    <tableColumn id="7" name="Nom de la structure" dataDxfId="167">
      <calculatedColumnFormula>VLOOKUP(Tableau17[[#This Row],[Colonne1]],Tableau124[#All],7,FALSE)</calculatedColumnFormula>
    </tableColumn>
    <tableColumn id="8" name="Statut de la structure" dataDxfId="166">
      <calculatedColumnFormula>VLOOKUP(Tableau17[[#This Row],[Colonne1]],Tableau124[#All],8,FALSE)</calculatedColumnFormula>
    </tableColumn>
    <tableColumn id="9" name="Mail" dataDxfId="165">
      <calculatedColumnFormula>VLOOKUP(Tableau17[[#This Row],[Colonne1]],Tableau124[#All],9,FALSE)</calculatedColumnFormula>
    </tableColumn>
    <tableColumn id="10" name="Numéro de téléphone" dataDxfId="164">
      <calculatedColumnFormula>VLOOKUP(Tableau17[[#This Row],[Colonne1]],Tableau124[#All],10,FALSE)</calculatedColumnFormula>
    </tableColumn>
    <tableColumn id="11" name="Site internet" dataDxfId="163" dataCellStyle="Lien hypertexte">
      <calculatedColumnFormula>VLOOKUP(Tableau17[[#This Row],[Colonne1]],Tableau124[#All],11,FALSE)</calculatedColumnFormula>
    </tableColumn>
    <tableColumn id="12" name="Jours et horaires" dataDxfId="162">
      <calculatedColumnFormula>VLOOKUP(Tableau17[[#This Row],[Colonne1]],Tableau124[#All],12,FALSE)</calculatedColumnFormula>
    </tableColumn>
    <tableColumn id="13" name="Informations complémentaires" dataDxfId="161">
      <calculatedColumnFormula>VLOOKUP(Tableau17[[#This Row],[Colonne1]],Tableau124[#All],13,FALSE)</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Tableau1" displayName="Tableau1" ref="B5:N17" totalsRowShown="0" headerRowDxfId="160" tableBorderDxfId="159">
  <autoFilter ref="B5:N17"/>
  <sortState ref="B6:N17">
    <sortCondition ref="H5:H17"/>
  </sortState>
  <tableColumns count="13">
    <tableColumn id="1" name="Colonne1" dataDxfId="158"/>
    <tableColumn id="2" name="Département" dataDxfId="157">
      <calculatedColumnFormula>VLOOKUP(Tableau1[[#This Row],[Colonne1]],Tableau124[#All],2,FALSE)</calculatedColumnFormula>
    </tableColumn>
    <tableColumn id="3" name="Commune d'implantation de la structure" dataDxfId="156">
      <calculatedColumnFormula>VLOOKUP(Tableau1[[#This Row],[Colonne1]],Tableau124[#All],3,FALSE)</calculatedColumnFormula>
    </tableColumn>
    <tableColumn id="4" name="Code postal" dataDxfId="155">
      <calculatedColumnFormula>VLOOKUP(Tableau1[[#This Row],[Colonne1]],Tableau124[#All],4,FALSE)</calculatedColumnFormula>
    </tableColumn>
    <tableColumn id="5" name="Adresse" dataDxfId="154">
      <calculatedColumnFormula>VLOOKUP(Tableau1[[#This Row],[Colonne1]],Tableau124[#All],5,FALSE)</calculatedColumnFormula>
    </tableColumn>
    <tableColumn id="6" name="Type de structure" dataDxfId="153">
      <calculatedColumnFormula>VLOOKUP(Tableau1[[#This Row],[Colonne1]],Tableau124[#All],6,FALSE)</calculatedColumnFormula>
    </tableColumn>
    <tableColumn id="7" name="Nom de la structure" dataDxfId="152">
      <calculatedColumnFormula>VLOOKUP(Tableau1[[#This Row],[Colonne1]],Tableau124[#All],7,FALSE)</calculatedColumnFormula>
    </tableColumn>
    <tableColumn id="8" name="Statut de la structure" dataDxfId="151">
      <calculatedColumnFormula>VLOOKUP(Tableau1[[#This Row],[Colonne1]],Tableau124[#All],8,FALSE)</calculatedColumnFormula>
    </tableColumn>
    <tableColumn id="9" name="Mail" dataDxfId="150">
      <calculatedColumnFormula>VLOOKUP(Tableau1[[#This Row],[Colonne1]],Tableau124[#All],9,FALSE)</calculatedColumnFormula>
    </tableColumn>
    <tableColumn id="10" name="Numéro de téléphone" dataDxfId="149">
      <calculatedColumnFormula>VLOOKUP(Tableau1[[#This Row],[Colonne1]],Tableau124[#All],10,FALSE)</calculatedColumnFormula>
    </tableColumn>
    <tableColumn id="11" name="Site internet" dataDxfId="148">
      <calculatedColumnFormula>VLOOKUP(Tableau1[[#This Row],[Colonne1]],Tableau124[#All],11,FALSE)</calculatedColumnFormula>
    </tableColumn>
    <tableColumn id="12" name="Jours et horaires" dataDxfId="147">
      <calculatedColumnFormula>VLOOKUP(Tableau1[[#This Row],[Colonne1]],Tableau124[#All],12,FALSE)</calculatedColumnFormula>
    </tableColumn>
    <tableColumn id="13" name="Informations complémentaires" dataDxfId="146">
      <calculatedColumnFormula>VLOOKUP(Tableau1[[#This Row],[Colonne1]],Tableau124[#All],13,FALSE)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216" dT="2023-06-08T12:21:05.55" personId="{FE76523A-C084-4FB2-AA65-2FDFA8501FDD}" id="{3637A49F-0FA8-4DB4-9799-3FB713A17B4E}">
    <text>à modifier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mailto:communication@ch-dole.fr" TargetMode="External"/><Relationship Id="rId3" Type="http://schemas.openxmlformats.org/officeDocument/2006/relationships/hyperlink" Target="http://www.ch-semur.fr/" TargetMode="External"/><Relationship Id="rId7" Type="http://schemas.openxmlformats.org/officeDocument/2006/relationships/hyperlink" Target="mailto:direction.generale@hopitaux-jura.fr" TargetMode="External"/><Relationship Id="rId12" Type="http://schemas.openxmlformats.org/officeDocument/2006/relationships/table" Target="../tables/table11.xml"/><Relationship Id="rId2" Type="http://schemas.openxmlformats.org/officeDocument/2006/relationships/hyperlink" Target="http://www.chsjura.fr/" TargetMode="External"/><Relationship Id="rId1" Type="http://schemas.openxmlformats.org/officeDocument/2006/relationships/hyperlink" Target="https://hopitaux-jura.fr/" TargetMode="External"/><Relationship Id="rId6" Type="http://schemas.openxmlformats.org/officeDocument/2006/relationships/hyperlink" Target="mailto:contact@gh70.fr" TargetMode="External"/><Relationship Id="rId11" Type="http://schemas.openxmlformats.org/officeDocument/2006/relationships/printerSettings" Target="../printerSettings/printerSettings12.bin"/><Relationship Id="rId5" Type="http://schemas.openxmlformats.org/officeDocument/2006/relationships/hyperlink" Target="http://www.chs-yonne.fr/" TargetMode="External"/><Relationship Id="rId10" Type="http://schemas.openxmlformats.org/officeDocument/2006/relationships/hyperlink" Target="mailto:contact@ch-montceau71.fr" TargetMode="External"/><Relationship Id="rId4" Type="http://schemas.openxmlformats.org/officeDocument/2006/relationships/hyperlink" Target="http://www.ch-lachartreuse-dijon-cotedor.fr/" TargetMode="External"/><Relationship Id="rId9" Type="http://schemas.openxmlformats.org/officeDocument/2006/relationships/hyperlink" Target="mailto:contact@ch-sens.fr"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jura.addictologie@chsjura.fr" TargetMode="External"/><Relationship Id="rId3" Type="http://schemas.openxmlformats.org/officeDocument/2006/relationships/hyperlink" Target="http://www.ch-lachartreuse-dijon-cotedor.fr/" TargetMode="External"/><Relationship Id="rId7" Type="http://schemas.openxmlformats.org/officeDocument/2006/relationships/hyperlink" Target="mailto:direction@ch-beaune.fr" TargetMode="External"/><Relationship Id="rId12" Type="http://schemas.openxmlformats.org/officeDocument/2006/relationships/table" Target="../tables/table12.xml"/><Relationship Id="rId2" Type="http://schemas.openxmlformats.org/officeDocument/2006/relationships/hyperlink" Target="http://www.chsjura.fr/" TargetMode="External"/><Relationship Id="rId1" Type="http://schemas.openxmlformats.org/officeDocument/2006/relationships/hyperlink" Target="https://hopitaux-jura.fr/" TargetMode="External"/><Relationship Id="rId6" Type="http://schemas.openxmlformats.org/officeDocument/2006/relationships/hyperlink" Target="mailto:direction.generale@hopitaux-jura.fr" TargetMode="External"/><Relationship Id="rId11" Type="http://schemas.openxmlformats.org/officeDocument/2006/relationships/printerSettings" Target="../printerSettings/printerSettings13.bin"/><Relationship Id="rId5" Type="http://schemas.openxmlformats.org/officeDocument/2006/relationships/hyperlink" Target="mailto:contact@gh70.fr" TargetMode="External"/><Relationship Id="rId10" Type="http://schemas.openxmlformats.org/officeDocument/2006/relationships/hyperlink" Target="mailto:contact@ch-montceau71.fr" TargetMode="External"/><Relationship Id="rId4" Type="http://schemas.openxmlformats.org/officeDocument/2006/relationships/hyperlink" Target="http://www.chs-yonne.fr/" TargetMode="External"/><Relationship Id="rId9" Type="http://schemas.openxmlformats.org/officeDocument/2006/relationships/hyperlink" Target="mailto:chs@ch-sevrey.fr"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contact@ch-sens.fr" TargetMode="External"/><Relationship Id="rId3" Type="http://schemas.openxmlformats.org/officeDocument/2006/relationships/hyperlink" Target="http://www.chsjura.fr/" TargetMode="External"/><Relationship Id="rId7" Type="http://schemas.openxmlformats.org/officeDocument/2006/relationships/hyperlink" Target="mailto:direction@ch-beaune.fr" TargetMode="External"/><Relationship Id="rId12" Type="http://schemas.openxmlformats.org/officeDocument/2006/relationships/table" Target="../tables/table13.xml"/><Relationship Id="rId2" Type="http://schemas.openxmlformats.org/officeDocument/2006/relationships/hyperlink" Target="https://hopitaux-jura.fr/" TargetMode="External"/><Relationship Id="rId1" Type="http://schemas.openxmlformats.org/officeDocument/2006/relationships/hyperlink" Target="mailto:ual@ch-decize.fr" TargetMode="External"/><Relationship Id="rId6" Type="http://schemas.openxmlformats.org/officeDocument/2006/relationships/hyperlink" Target="mailto:direction.generale@hopitaux-jura.fr" TargetMode="External"/><Relationship Id="rId11" Type="http://schemas.openxmlformats.org/officeDocument/2006/relationships/printerSettings" Target="../printerSettings/printerSettings14.bin"/><Relationship Id="rId5" Type="http://schemas.openxmlformats.org/officeDocument/2006/relationships/hyperlink" Target="mailto:contact@gh70.fr" TargetMode="External"/><Relationship Id="rId10" Type="http://schemas.openxmlformats.org/officeDocument/2006/relationships/hyperlink" Target="mailto:ghforest@hoteldieu-creusot.fr" TargetMode="External"/><Relationship Id="rId4" Type="http://schemas.openxmlformats.org/officeDocument/2006/relationships/hyperlink" Target="http://www.chs-yonne.fr/" TargetMode="External"/><Relationship Id="rId9" Type="http://schemas.openxmlformats.org/officeDocument/2006/relationships/hyperlink" Target="mailto:chs@ch-sevrey.fr"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contact@gh70.fr" TargetMode="External"/><Relationship Id="rId2" Type="http://schemas.openxmlformats.org/officeDocument/2006/relationships/hyperlink" Target="http://www.chs-yonne.fr/" TargetMode="External"/><Relationship Id="rId1" Type="http://schemas.openxmlformats.org/officeDocument/2006/relationships/hyperlink" Target="http://www.ch-semur.fr/" TargetMode="External"/><Relationship Id="rId5" Type="http://schemas.openxmlformats.org/officeDocument/2006/relationships/table" Target="../tables/table14.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direction.generale@hopitaux-jura.fr" TargetMode="External"/><Relationship Id="rId1" Type="http://schemas.openxmlformats.org/officeDocument/2006/relationships/hyperlink" Target="https://hopitaux-jura.fr/" TargetMode="External"/><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hyperlink" Target="mailto:contact@ch-sens.fr" TargetMode="External"/><Relationship Id="rId3" Type="http://schemas.openxmlformats.org/officeDocument/2006/relationships/hyperlink" Target="mailto:secretariat.psychiatrie@ch-semur.fr" TargetMode="External"/><Relationship Id="rId7" Type="http://schemas.openxmlformats.org/officeDocument/2006/relationships/hyperlink" Target="mailto:chs@ch-sevrey.fr" TargetMode="External"/><Relationship Id="rId2" Type="http://schemas.openxmlformats.org/officeDocument/2006/relationships/hyperlink" Target="https://www.gh70.fr/" TargetMode="External"/><Relationship Id="rId1" Type="http://schemas.openxmlformats.org/officeDocument/2006/relationships/hyperlink" Target="mailto:contact@ch-sens.fr" TargetMode="External"/><Relationship Id="rId6" Type="http://schemas.openxmlformats.org/officeDocument/2006/relationships/hyperlink" Target="mailto:contact@ch-sens.fr" TargetMode="External"/><Relationship Id="rId11" Type="http://schemas.openxmlformats.org/officeDocument/2006/relationships/table" Target="../tables/table17.xml"/><Relationship Id="rId5" Type="http://schemas.openxmlformats.org/officeDocument/2006/relationships/hyperlink" Target="mailto:chs@ch-sevrey.fr" TargetMode="External"/><Relationship Id="rId10" Type="http://schemas.openxmlformats.org/officeDocument/2006/relationships/drawing" Target="../drawings/drawing12.xml"/><Relationship Id="rId4" Type="http://schemas.openxmlformats.org/officeDocument/2006/relationships/hyperlink" Target="http://www.ch-semur.fr/" TargetMode="External"/><Relationship Id="rId9"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chs-yonne.fr/" TargetMode="External"/><Relationship Id="rId21" Type="http://schemas.openxmlformats.org/officeDocument/2006/relationships/hyperlink" Target="http://ch-autun.fr/contact/@ch-autun.fr" TargetMode="External"/><Relationship Id="rId42" Type="http://schemas.openxmlformats.org/officeDocument/2006/relationships/hyperlink" Target="mailto:direction.generale@hopitaux-jura.fr" TargetMode="External"/><Relationship Id="rId47" Type="http://schemas.openxmlformats.org/officeDocument/2006/relationships/hyperlink" Target="http://www.ahbfc.fr/" TargetMode="External"/><Relationship Id="rId63" Type="http://schemas.openxmlformats.org/officeDocument/2006/relationships/hyperlink" Target="mailto:csapa.vesoul@addictions-france.org" TargetMode="External"/><Relationship Id="rId68" Type="http://schemas.openxmlformats.org/officeDocument/2006/relationships/hyperlink" Target="mailto:csapa.dijon@addictions-france.org" TargetMode="External"/><Relationship Id="rId84" Type="http://schemas.openxmlformats.org/officeDocument/2006/relationships/hyperlink" Target="https://www.oppelia.fr/etablissement/passerelle-39-lons-le-saunier/" TargetMode="External"/><Relationship Id="rId89" Type="http://schemas.openxmlformats.org/officeDocument/2006/relationships/hyperlink" Target="https://www.oppelia.fr/structure/passerelle-39/" TargetMode="External"/><Relationship Id="rId112" Type="http://schemas.openxmlformats.org/officeDocument/2006/relationships/table" Target="../tables/table1.xml"/><Relationship Id="rId2" Type="http://schemas.openxmlformats.org/officeDocument/2006/relationships/hyperlink" Target="mailto:secretaddicto@ch-sens.fr" TargetMode="External"/><Relationship Id="rId16" Type="http://schemas.openxmlformats.org/officeDocument/2006/relationships/hyperlink" Target="mailto:secgyn&#233;co@ch-montceau-71.fr" TargetMode="External"/><Relationship Id="rId29" Type="http://schemas.openxmlformats.org/officeDocument/2006/relationships/hyperlink" Target="mailto:contact@ch-sens.fr" TargetMode="External"/><Relationship Id="rId107" Type="http://schemas.openxmlformats.org/officeDocument/2006/relationships/hyperlink" Target="mailto:csapa.macon@addictions-France.org" TargetMode="External"/><Relationship Id="rId11" Type="http://schemas.openxmlformats.org/officeDocument/2006/relationships/hyperlink" Target="mailto:contactp39@oppelia.fr" TargetMode="External"/><Relationship Id="rId24" Type="http://schemas.openxmlformats.org/officeDocument/2006/relationships/hyperlink" Target="https://hopitaux-jura.fr/" TargetMode="External"/><Relationship Id="rId32" Type="http://schemas.openxmlformats.org/officeDocument/2006/relationships/hyperlink" Target="mailto:contact@gh70.fr" TargetMode="External"/><Relationship Id="rId37" Type="http://schemas.openxmlformats.org/officeDocument/2006/relationships/hyperlink" Target="http://www.chs-yonne.fr/" TargetMode="External"/><Relationship Id="rId40" Type="http://schemas.openxmlformats.org/officeDocument/2006/relationships/hyperlink" Target="mailto:contact@ch-sens.fr" TargetMode="External"/><Relationship Id="rId45" Type="http://schemas.openxmlformats.org/officeDocument/2006/relationships/hyperlink" Target="http://www.ch-lachartreuse-dijon-cotedor.fr/" TargetMode="External"/><Relationship Id="rId53" Type="http://schemas.openxmlformats.org/officeDocument/2006/relationships/hyperlink" Target="http://www.ahs-fc.fr/" TargetMode="External"/><Relationship Id="rId58" Type="http://schemas.openxmlformats.org/officeDocument/2006/relationships/hyperlink" Target="http://www.ahs-fc.fr/" TargetMode="External"/><Relationship Id="rId66" Type="http://schemas.openxmlformats.org/officeDocument/2006/relationships/hyperlink" Target="https://www.ch-lachartreuse-dijon-cotedor.fr/" TargetMode="External"/><Relationship Id="rId74" Type="http://schemas.openxmlformats.org/officeDocument/2006/relationships/hyperlink" Target="https://keryonnec.com/" TargetMode="External"/><Relationship Id="rId79" Type="http://schemas.openxmlformats.org/officeDocument/2006/relationships/hyperlink" Target="mailto:addictologie-secret@chu-besancon.fr" TargetMode="External"/><Relationship Id="rId87" Type="http://schemas.openxmlformats.org/officeDocument/2006/relationships/hyperlink" Target="mailto:contactp39@oppelia.fr" TargetMode="External"/><Relationship Id="rId102" Type="http://schemas.openxmlformats.org/officeDocument/2006/relationships/hyperlink" Target="mailto:csapa.paraylemonial@addictions-France.org" TargetMode="External"/><Relationship Id="rId110" Type="http://schemas.openxmlformats.org/officeDocument/2006/relationships/drawing" Target="../drawings/drawing2.xml"/><Relationship Id="rId5" Type="http://schemas.openxmlformats.org/officeDocument/2006/relationships/hyperlink" Target="https://www.gh70.fr/" TargetMode="External"/><Relationship Id="rId61" Type="http://schemas.openxmlformats.org/officeDocument/2006/relationships/hyperlink" Target="mailto:csapa.vesoul@addictions-france.org" TargetMode="External"/><Relationship Id="rId82" Type="http://schemas.openxmlformats.org/officeDocument/2006/relationships/hyperlink" Target="http://www.addsea.fr/" TargetMode="External"/><Relationship Id="rId90" Type="http://schemas.openxmlformats.org/officeDocument/2006/relationships/hyperlink" Target="mailto:pole-addictologie.nfc@afs-fc.fr" TargetMode="External"/><Relationship Id="rId95" Type="http://schemas.openxmlformats.org/officeDocument/2006/relationships/hyperlink" Target="https://www.ch-macon.fr/patients-usagers/services/tabacologie/" TargetMode="External"/><Relationship Id="rId19" Type="http://schemas.openxmlformats.org/officeDocument/2006/relationships/hyperlink" Target="mailto:secretariat.psychiatrie@ch-semur.fr" TargetMode="External"/><Relationship Id="rId14" Type="http://schemas.openxmlformats.org/officeDocument/2006/relationships/hyperlink" Target="mailto:BFC58@Addictions-france.org" TargetMode="External"/><Relationship Id="rId22" Type="http://schemas.openxmlformats.org/officeDocument/2006/relationships/hyperlink" Target="http://ch-autun.fr/contact/Macon%20:" TargetMode="External"/><Relationship Id="rId27" Type="http://schemas.openxmlformats.org/officeDocument/2006/relationships/hyperlink" Target="mailto:ghforest@hoteldieu-creusot.fr" TargetMode="External"/><Relationship Id="rId30" Type="http://schemas.openxmlformats.org/officeDocument/2006/relationships/hyperlink" Target="mailto:direction@ch-beaune.fr" TargetMode="External"/><Relationship Id="rId35" Type="http://schemas.openxmlformats.org/officeDocument/2006/relationships/hyperlink" Target="https://hopitaux-jura.fr/" TargetMode="External"/><Relationship Id="rId43" Type="http://schemas.openxmlformats.org/officeDocument/2006/relationships/hyperlink" Target="mailto:contact@gh70.fr" TargetMode="External"/><Relationship Id="rId48" Type="http://schemas.openxmlformats.org/officeDocument/2006/relationships/hyperlink" Target="http://www.ahbfc.fr/" TargetMode="External"/><Relationship Id="rId56" Type="http://schemas.openxmlformats.org/officeDocument/2006/relationships/hyperlink" Target="http://www.ahs-fc.fr/" TargetMode="External"/><Relationship Id="rId64" Type="http://schemas.openxmlformats.org/officeDocument/2006/relationships/hyperlink" Target="mailto:csapa.vesoul@addictions-france.org" TargetMode="External"/><Relationship Id="rId69" Type="http://schemas.openxmlformats.org/officeDocument/2006/relationships/hyperlink" Target="mailto:csapa.dijon@addictions-france.org" TargetMode="External"/><Relationship Id="rId77" Type="http://schemas.openxmlformats.org/officeDocument/2006/relationships/hyperlink" Target="mailto:contactp39@oppelia.fr" TargetMode="External"/><Relationship Id="rId100" Type="http://schemas.openxmlformats.org/officeDocument/2006/relationships/hyperlink" Target="https://urldefense.com/v3/__http:/www.addictions-france.org__;!!E1R1dd1bLLODlQ4!Es8mFRAweC5ypRnrRmgKy5fS9hbkpnAdaJ9a5Nfgxl0ZYuVBi4Jzja_3lgWvifw-RfuN-RscJJWgbQPTtIwlRbvG_ESrAQEY_yxj$" TargetMode="External"/><Relationship Id="rId105" Type="http://schemas.openxmlformats.org/officeDocument/2006/relationships/hyperlink" Target="mailto:ema.doubs@gmail.com" TargetMode="External"/><Relationship Id="rId113" Type="http://schemas.openxmlformats.org/officeDocument/2006/relationships/comments" Target="../comments1.xml"/><Relationship Id="rId8" Type="http://schemas.openxmlformats.org/officeDocument/2006/relationships/hyperlink" Target="https://www.ght-unyon.fr/" TargetMode="External"/><Relationship Id="rId51" Type="http://schemas.openxmlformats.org/officeDocument/2006/relationships/hyperlink" Target="http://www.ahs-fc.fr/" TargetMode="External"/><Relationship Id="rId72" Type="http://schemas.openxmlformats.org/officeDocument/2006/relationships/hyperlink" Target="mailto:csapa.beaune@addictions-France.org" TargetMode="External"/><Relationship Id="rId80" Type="http://schemas.openxmlformats.org/officeDocument/2006/relationships/hyperlink" Target="mailto:contactp39@oppelia.fr" TargetMode="External"/><Relationship Id="rId85" Type="http://schemas.openxmlformats.org/officeDocument/2006/relationships/hyperlink" Target="https://www.oppelia.fr/etablissement/passerelle-39-lons-le-saunier/" TargetMode="External"/><Relationship Id="rId93" Type="http://schemas.openxmlformats.org/officeDocument/2006/relationships/hyperlink" Target="mailto:tabacologie@ch-macon.fr" TargetMode="External"/><Relationship Id="rId98" Type="http://schemas.openxmlformats.org/officeDocument/2006/relationships/hyperlink" Target="https://urldefense.com/v3/__http:/www.addictions-france.org__;!!E1R1dd1bLLODlQ4!Es8mFRAweC5ypRnrRmgKy5fS9hbkpnAdaJ9a5Nfgxl0ZYuVBi4Jzja_3lgWvifw-RfuN-RscJJWgbQPTtIwlRbvG_ESrAQEY_yxj$" TargetMode="External"/><Relationship Id="rId3" Type="http://schemas.openxmlformats.org/officeDocument/2006/relationships/hyperlink" Target="http://www.chs-yonne.fr/" TargetMode="External"/><Relationship Id="rId12" Type="http://schemas.openxmlformats.org/officeDocument/2006/relationships/hyperlink" Target="mailto:csapa.gray@addictions-france.org" TargetMode="External"/><Relationship Id="rId17" Type="http://schemas.openxmlformats.org/officeDocument/2006/relationships/hyperlink" Target="mailto:luref.lorenzi@chi70.fr" TargetMode="External"/><Relationship Id="rId25" Type="http://schemas.openxmlformats.org/officeDocument/2006/relationships/hyperlink" Target="mailto:contact@gh70.fr" TargetMode="External"/><Relationship Id="rId33" Type="http://schemas.openxmlformats.org/officeDocument/2006/relationships/hyperlink" Target="http://www.chs-yonne.fr/" TargetMode="External"/><Relationship Id="rId38" Type="http://schemas.openxmlformats.org/officeDocument/2006/relationships/hyperlink" Target="http://www.ch-lachartreuse-dijon-cotedor.fr/" TargetMode="External"/><Relationship Id="rId46" Type="http://schemas.openxmlformats.org/officeDocument/2006/relationships/hyperlink" Target="https://hopitaux-jura.fr/" TargetMode="External"/><Relationship Id="rId59" Type="http://schemas.openxmlformats.org/officeDocument/2006/relationships/hyperlink" Target="http://www.ahs-fc.fr/" TargetMode="External"/><Relationship Id="rId67" Type="http://schemas.openxmlformats.org/officeDocument/2006/relationships/hyperlink" Target="mailto:csapa.dijon@addictions-france.org" TargetMode="External"/><Relationship Id="rId103" Type="http://schemas.openxmlformats.org/officeDocument/2006/relationships/hyperlink" Target="mailto:elsa@ch-novillars.fr" TargetMode="External"/><Relationship Id="rId108" Type="http://schemas.openxmlformats.org/officeDocument/2006/relationships/hyperlink" Target="https://www.oppelia.fr/etablissement/passerelle-39-lons-le-saunier/" TargetMode="External"/><Relationship Id="rId20" Type="http://schemas.openxmlformats.org/officeDocument/2006/relationships/hyperlink" Target="http://www.ch-semur.fr/" TargetMode="External"/><Relationship Id="rId41" Type="http://schemas.openxmlformats.org/officeDocument/2006/relationships/hyperlink" Target="mailto:communication@ch-dole.fr" TargetMode="External"/><Relationship Id="rId54" Type="http://schemas.openxmlformats.org/officeDocument/2006/relationships/hyperlink" Target="http://www.ahs-fc.fr/" TargetMode="External"/><Relationship Id="rId62" Type="http://schemas.openxmlformats.org/officeDocument/2006/relationships/hyperlink" Target="https://addictions-france.org/" TargetMode="External"/><Relationship Id="rId70" Type="http://schemas.openxmlformats.org/officeDocument/2006/relationships/hyperlink" Target="mailto:csapa.dijon@addictions-france.org" TargetMode="External"/><Relationship Id="rId75" Type="http://schemas.openxmlformats.org/officeDocument/2006/relationships/hyperlink" Target="https://keryonnec.com/" TargetMode="External"/><Relationship Id="rId83" Type="http://schemas.openxmlformats.org/officeDocument/2006/relationships/hyperlink" Target="mailto:santoline@addictions-sedap.fr" TargetMode="External"/><Relationship Id="rId88" Type="http://schemas.openxmlformats.org/officeDocument/2006/relationships/hyperlink" Target="https://www.oppelia.fr/etablissement/passerelle-39-orgelet/" TargetMode="External"/><Relationship Id="rId91" Type="http://schemas.openxmlformats.org/officeDocument/2006/relationships/hyperlink" Target="mailto:pole-addictologie.nfc@afs-fc.fr" TargetMode="External"/><Relationship Id="rId96" Type="http://schemas.openxmlformats.org/officeDocument/2006/relationships/hyperlink" Target="mailto:tabacologie@ch-macon.fr" TargetMode="External"/><Relationship Id="rId111" Type="http://schemas.openxmlformats.org/officeDocument/2006/relationships/vmlDrawing" Target="../drawings/vmlDrawing1.vml"/><Relationship Id="rId1" Type="http://schemas.openxmlformats.org/officeDocument/2006/relationships/hyperlink" Target="http://ch-autun.fr/contact/@ch-autun.fr" TargetMode="External"/><Relationship Id="rId6" Type="http://schemas.openxmlformats.org/officeDocument/2006/relationships/hyperlink" Target="http://www.hopital-lecreusot.com/" TargetMode="External"/><Relationship Id="rId15" Type="http://schemas.openxmlformats.org/officeDocument/2006/relationships/hyperlink" Target="mailto:bfc21@addictions-france.org" TargetMode="External"/><Relationship Id="rId23" Type="http://schemas.openxmlformats.org/officeDocument/2006/relationships/hyperlink" Target="mailto:direction.generale@hopitaux-jura.fr" TargetMode="External"/><Relationship Id="rId28" Type="http://schemas.openxmlformats.org/officeDocument/2006/relationships/hyperlink" Target="mailto:iri2.docs@ch-sevrey.fr" TargetMode="External"/><Relationship Id="rId36" Type="http://schemas.openxmlformats.org/officeDocument/2006/relationships/hyperlink" Target="mailto:contact@gh70.fr" TargetMode="External"/><Relationship Id="rId49" Type="http://schemas.openxmlformats.org/officeDocument/2006/relationships/hyperlink" Target="http://www.ahbfc.fr/" TargetMode="External"/><Relationship Id="rId57" Type="http://schemas.openxmlformats.org/officeDocument/2006/relationships/hyperlink" Target="http://www.ahs-fc.fr/" TargetMode="External"/><Relationship Id="rId106" Type="http://schemas.openxmlformats.org/officeDocument/2006/relationships/hyperlink" Target="mailto:hdjaddicto-secret@chu-besancon.fr" TargetMode="External"/><Relationship Id="rId114" Type="http://schemas.microsoft.com/office/2017/10/relationships/threadedComment" Target="../threadedComments/threadedComment1.xml"/><Relationship Id="rId10" Type="http://schemas.openxmlformats.org/officeDocument/2006/relationships/hyperlink" Target="https://www.oppelia.fr/etablissement/passerelle-39-saint-claude/" TargetMode="External"/><Relationship Id="rId31" Type="http://schemas.openxmlformats.org/officeDocument/2006/relationships/hyperlink" Target="mailto:direction.generale@hopitaux-jura.fr" TargetMode="External"/><Relationship Id="rId44" Type="http://schemas.openxmlformats.org/officeDocument/2006/relationships/hyperlink" Target="http://www.chs-yonne.fr/" TargetMode="External"/><Relationship Id="rId52" Type="http://schemas.openxmlformats.org/officeDocument/2006/relationships/hyperlink" Target="http://www.ahs-fc.fr/" TargetMode="External"/><Relationship Id="rId60" Type="http://schemas.openxmlformats.org/officeDocument/2006/relationships/hyperlink" Target="http://www.chsjura.fr/" TargetMode="External"/><Relationship Id="rId65" Type="http://schemas.openxmlformats.org/officeDocument/2006/relationships/hyperlink" Target="mailto:chde.ual@ght58.fr" TargetMode="External"/><Relationship Id="rId73" Type="http://schemas.openxmlformats.org/officeDocument/2006/relationships/hyperlink" Target="http://www.addictions-france.org/" TargetMode="External"/><Relationship Id="rId78" Type="http://schemas.openxmlformats.org/officeDocument/2006/relationships/hyperlink" Target="mailto:addictologie-secret@chu-besancon.fr" TargetMode="External"/><Relationship Id="rId81" Type="http://schemas.openxmlformats.org/officeDocument/2006/relationships/hyperlink" Target="mailto:solea@addsea.fr" TargetMode="External"/><Relationship Id="rId86" Type="http://schemas.openxmlformats.org/officeDocument/2006/relationships/hyperlink" Target="mailto:contactp39@oppelia.fr" TargetMode="External"/><Relationship Id="rId94" Type="http://schemas.openxmlformats.org/officeDocument/2006/relationships/hyperlink" Target="https://www.ch-macon.fr/patients-usagers/services/tabacologie/" TargetMode="External"/><Relationship Id="rId99" Type="http://schemas.openxmlformats.org/officeDocument/2006/relationships/hyperlink" Target="mailto:csapa.dijon@addictions-france.org" TargetMode="External"/><Relationship Id="rId101" Type="http://schemas.openxmlformats.org/officeDocument/2006/relationships/hyperlink" Target="mailto:csapa.macon@addictions-France.org" TargetMode="External"/><Relationship Id="rId4" Type="http://schemas.openxmlformats.org/officeDocument/2006/relationships/hyperlink" Target="https://hopitaux-jura.fr/" TargetMode="External"/><Relationship Id="rId9" Type="http://schemas.openxmlformats.org/officeDocument/2006/relationships/hyperlink" Target="http://hospices-de-beaune.com/" TargetMode="External"/><Relationship Id="rId13" Type="http://schemas.openxmlformats.org/officeDocument/2006/relationships/hyperlink" Target="mailto:BFC58@Addictions-france.org" TargetMode="External"/><Relationship Id="rId18" Type="http://schemas.openxmlformats.org/officeDocument/2006/relationships/hyperlink" Target="mailto:secretaire.cpp@hopital-cosne.fr" TargetMode="External"/><Relationship Id="rId39" Type="http://schemas.openxmlformats.org/officeDocument/2006/relationships/hyperlink" Target="mailto:contact@ch-montceau71.fr" TargetMode="External"/><Relationship Id="rId109" Type="http://schemas.openxmlformats.org/officeDocument/2006/relationships/printerSettings" Target="../printerSettings/printerSettings2.bin"/><Relationship Id="rId34" Type="http://schemas.openxmlformats.org/officeDocument/2006/relationships/hyperlink" Target="http://www.chsjura.fr/" TargetMode="External"/><Relationship Id="rId50" Type="http://schemas.openxmlformats.org/officeDocument/2006/relationships/hyperlink" Target="http://www.ahs-fc.fr/" TargetMode="External"/><Relationship Id="rId55" Type="http://schemas.openxmlformats.org/officeDocument/2006/relationships/hyperlink" Target="http://www.ahs-fc.fr/" TargetMode="External"/><Relationship Id="rId76" Type="http://schemas.openxmlformats.org/officeDocument/2006/relationships/hyperlink" Target="mailto:csapa.belfort@addictions-france.org" TargetMode="External"/><Relationship Id="rId97" Type="http://schemas.openxmlformats.org/officeDocument/2006/relationships/hyperlink" Target="mailto:csapa.dijon@addictions-france.org" TargetMode="External"/><Relationship Id="rId104" Type="http://schemas.openxmlformats.org/officeDocument/2006/relationships/hyperlink" Target="mailto:cmp.julesverne@ch-novillars.fr" TargetMode="External"/><Relationship Id="rId7" Type="http://schemas.openxmlformats.org/officeDocument/2006/relationships/hyperlink" Target="https://www.chu-dijon.fr/" TargetMode="External"/><Relationship Id="rId71" Type="http://schemas.openxmlformats.org/officeDocument/2006/relationships/hyperlink" Target="mailto:csapa.dijon@addictions-france.org" TargetMode="External"/><Relationship Id="rId92" Type="http://schemas.openxmlformats.org/officeDocument/2006/relationships/hyperlink" Target="mailto:pole-addictologie.nfc@afs-fc.fr"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C2:T221"/>
  <sheetViews>
    <sheetView tabSelected="1" topLeftCell="C4" workbookViewId="0">
      <selection activeCell="W27" sqref="W27"/>
    </sheetView>
  </sheetViews>
  <sheetFormatPr baseColWidth="10" defaultColWidth="10.5703125" defaultRowHeight="15"/>
  <cols>
    <col min="1" max="16384" width="10.5703125" style="1"/>
  </cols>
  <sheetData>
    <row r="2" spans="3:20" ht="38.1" customHeight="1">
      <c r="C2" s="702" t="s">
        <v>0</v>
      </c>
      <c r="D2" s="703"/>
      <c r="E2" s="703"/>
      <c r="F2" s="703"/>
      <c r="G2" s="703"/>
      <c r="H2" s="703"/>
      <c r="I2" s="703"/>
      <c r="J2" s="703"/>
      <c r="K2" s="703"/>
      <c r="L2" s="703"/>
      <c r="M2" s="703"/>
      <c r="N2" s="703"/>
      <c r="O2" s="703"/>
      <c r="P2" s="703"/>
      <c r="Q2" s="703"/>
      <c r="R2" s="703"/>
      <c r="S2" s="704"/>
    </row>
    <row r="3" spans="3:20">
      <c r="C3" s="2"/>
      <c r="S3" s="3"/>
    </row>
    <row r="4" spans="3:20" ht="26.25" customHeight="1">
      <c r="C4" s="2"/>
      <c r="E4" s="705" t="s">
        <v>1</v>
      </c>
      <c r="F4" s="706"/>
      <c r="G4" s="706"/>
      <c r="H4" s="706"/>
      <c r="I4" s="706"/>
      <c r="J4" s="706"/>
      <c r="K4" s="706"/>
      <c r="L4" s="706"/>
      <c r="M4" s="706"/>
      <c r="N4" s="706"/>
      <c r="O4" s="706"/>
      <c r="P4" s="706"/>
      <c r="Q4" s="707"/>
      <c r="S4" s="3"/>
    </row>
    <row r="5" spans="3:20" ht="18.75" customHeight="1">
      <c r="C5" s="2"/>
      <c r="E5" s="693" t="s">
        <v>2</v>
      </c>
      <c r="F5" s="694"/>
      <c r="G5" s="694"/>
      <c r="H5" s="694"/>
      <c r="I5" s="694"/>
      <c r="J5" s="694"/>
      <c r="K5" s="694"/>
      <c r="L5" s="694"/>
      <c r="M5" s="694"/>
      <c r="N5" s="694"/>
      <c r="O5" s="694"/>
      <c r="P5" s="694"/>
      <c r="Q5" s="695"/>
      <c r="S5" s="3"/>
    </row>
    <row r="6" spans="3:20" ht="18.75" customHeight="1">
      <c r="C6" s="2"/>
      <c r="E6" s="696"/>
      <c r="F6" s="697"/>
      <c r="G6" s="697"/>
      <c r="H6" s="697"/>
      <c r="I6" s="697"/>
      <c r="J6" s="697"/>
      <c r="K6" s="697"/>
      <c r="L6" s="697"/>
      <c r="M6" s="697"/>
      <c r="N6" s="697"/>
      <c r="O6" s="697"/>
      <c r="P6" s="697"/>
      <c r="Q6" s="698"/>
      <c r="S6" s="3"/>
    </row>
    <row r="7" spans="3:20" ht="18.75" customHeight="1">
      <c r="C7" s="2"/>
      <c r="E7" s="696"/>
      <c r="F7" s="697"/>
      <c r="G7" s="697"/>
      <c r="H7" s="697"/>
      <c r="I7" s="697"/>
      <c r="J7" s="697"/>
      <c r="K7" s="697"/>
      <c r="L7" s="697"/>
      <c r="M7" s="697"/>
      <c r="N7" s="697"/>
      <c r="O7" s="697"/>
      <c r="P7" s="697"/>
      <c r="Q7" s="698"/>
      <c r="S7" s="3"/>
    </row>
    <row r="8" spans="3:20" ht="18.75" customHeight="1">
      <c r="C8" s="2"/>
      <c r="E8" s="696"/>
      <c r="F8" s="697"/>
      <c r="G8" s="697"/>
      <c r="H8" s="697"/>
      <c r="I8" s="697"/>
      <c r="J8" s="697"/>
      <c r="K8" s="697"/>
      <c r="L8" s="697"/>
      <c r="M8" s="697"/>
      <c r="N8" s="697"/>
      <c r="O8" s="697"/>
      <c r="P8" s="697"/>
      <c r="Q8" s="698"/>
      <c r="S8" s="3"/>
      <c r="T8"/>
    </row>
    <row r="9" spans="3:20" ht="18.75" customHeight="1">
      <c r="C9" s="2"/>
      <c r="E9" s="696"/>
      <c r="F9" s="697"/>
      <c r="G9" s="697"/>
      <c r="H9" s="697"/>
      <c r="I9" s="697"/>
      <c r="J9" s="697"/>
      <c r="K9" s="697"/>
      <c r="L9" s="697"/>
      <c r="M9" s="697"/>
      <c r="N9" s="697"/>
      <c r="O9" s="697"/>
      <c r="P9" s="697"/>
      <c r="Q9" s="698"/>
      <c r="S9" s="3"/>
    </row>
    <row r="10" spans="3:20" ht="18.75">
      <c r="C10" s="4"/>
      <c r="E10" s="696"/>
      <c r="F10" s="697"/>
      <c r="G10" s="697"/>
      <c r="H10" s="697"/>
      <c r="I10" s="697"/>
      <c r="J10" s="697"/>
      <c r="K10" s="697"/>
      <c r="L10" s="697"/>
      <c r="M10" s="697"/>
      <c r="N10" s="697"/>
      <c r="O10" s="697"/>
      <c r="P10" s="697"/>
      <c r="Q10" s="698"/>
      <c r="S10" s="3"/>
    </row>
    <row r="11" spans="3:20" ht="14.45" customHeight="1">
      <c r="C11" s="2"/>
      <c r="E11" s="696"/>
      <c r="F11" s="697"/>
      <c r="G11" s="697"/>
      <c r="H11" s="697"/>
      <c r="I11" s="697"/>
      <c r="J11" s="697"/>
      <c r="K11" s="697"/>
      <c r="L11" s="697"/>
      <c r="M11" s="697"/>
      <c r="N11" s="697"/>
      <c r="O11" s="697"/>
      <c r="P11" s="697"/>
      <c r="Q11" s="698"/>
      <c r="S11" s="3"/>
    </row>
    <row r="12" spans="3:20" ht="14.45" customHeight="1">
      <c r="C12" s="2"/>
      <c r="E12" s="696"/>
      <c r="F12" s="697"/>
      <c r="G12" s="697"/>
      <c r="H12" s="697"/>
      <c r="I12" s="697"/>
      <c r="J12" s="697"/>
      <c r="K12" s="697"/>
      <c r="L12" s="697"/>
      <c r="M12" s="697"/>
      <c r="N12" s="697"/>
      <c r="O12" s="697"/>
      <c r="P12" s="697"/>
      <c r="Q12" s="698"/>
      <c r="S12" s="3"/>
    </row>
    <row r="13" spans="3:20" ht="14.45" customHeight="1">
      <c r="C13" s="2"/>
      <c r="E13" s="696"/>
      <c r="F13" s="697"/>
      <c r="G13" s="697"/>
      <c r="H13" s="697"/>
      <c r="I13" s="697"/>
      <c r="J13" s="697"/>
      <c r="K13" s="697"/>
      <c r="L13" s="697"/>
      <c r="M13" s="697"/>
      <c r="N13" s="697"/>
      <c r="O13" s="697"/>
      <c r="P13" s="697"/>
      <c r="Q13" s="698"/>
      <c r="S13" s="3"/>
    </row>
    <row r="14" spans="3:20" ht="14.45" customHeight="1">
      <c r="C14" s="2"/>
      <c r="E14" s="696"/>
      <c r="F14" s="697"/>
      <c r="G14" s="697"/>
      <c r="H14" s="697"/>
      <c r="I14" s="697"/>
      <c r="J14" s="697"/>
      <c r="K14" s="697"/>
      <c r="L14" s="697"/>
      <c r="M14" s="697"/>
      <c r="N14" s="697"/>
      <c r="O14" s="697"/>
      <c r="P14" s="697"/>
      <c r="Q14" s="698"/>
      <c r="S14" s="3"/>
    </row>
    <row r="15" spans="3:20" ht="14.45" customHeight="1">
      <c r="C15" s="2"/>
      <c r="E15" s="696"/>
      <c r="F15" s="697"/>
      <c r="G15" s="697"/>
      <c r="H15" s="697"/>
      <c r="I15" s="697"/>
      <c r="J15" s="697"/>
      <c r="K15" s="697"/>
      <c r="L15" s="697"/>
      <c r="M15" s="697"/>
      <c r="N15" s="697"/>
      <c r="O15" s="697"/>
      <c r="P15" s="697"/>
      <c r="Q15" s="698"/>
      <c r="S15" s="3"/>
    </row>
    <row r="16" spans="3:20" ht="14.45" customHeight="1">
      <c r="C16" s="2"/>
      <c r="E16" s="696"/>
      <c r="F16" s="697"/>
      <c r="G16" s="697"/>
      <c r="H16" s="697"/>
      <c r="I16" s="697"/>
      <c r="J16" s="697"/>
      <c r="K16" s="697"/>
      <c r="L16" s="697"/>
      <c r="M16" s="697"/>
      <c r="N16" s="697"/>
      <c r="O16" s="697"/>
      <c r="P16" s="697"/>
      <c r="Q16" s="698"/>
      <c r="S16" s="3"/>
    </row>
    <row r="17" spans="3:19" ht="14.45" customHeight="1">
      <c r="C17" s="2"/>
      <c r="E17" s="696"/>
      <c r="F17" s="697"/>
      <c r="G17" s="697"/>
      <c r="H17" s="697"/>
      <c r="I17" s="697"/>
      <c r="J17" s="697"/>
      <c r="K17" s="697"/>
      <c r="L17" s="697"/>
      <c r="M17" s="697"/>
      <c r="N17" s="697"/>
      <c r="O17" s="697"/>
      <c r="P17" s="697"/>
      <c r="Q17" s="698"/>
      <c r="S17" s="3"/>
    </row>
    <row r="18" spans="3:19" ht="14.45" customHeight="1">
      <c r="C18" s="2"/>
      <c r="E18" s="696"/>
      <c r="F18" s="697"/>
      <c r="G18" s="697"/>
      <c r="H18" s="697"/>
      <c r="I18" s="697"/>
      <c r="J18" s="697"/>
      <c r="K18" s="697"/>
      <c r="L18" s="697"/>
      <c r="M18" s="697"/>
      <c r="N18" s="697"/>
      <c r="O18" s="697"/>
      <c r="P18" s="697"/>
      <c r="Q18" s="698"/>
      <c r="S18" s="3"/>
    </row>
    <row r="19" spans="3:19">
      <c r="C19" s="2"/>
      <c r="E19" s="696"/>
      <c r="F19" s="697"/>
      <c r="G19" s="697"/>
      <c r="H19" s="697"/>
      <c r="I19" s="697"/>
      <c r="J19" s="697"/>
      <c r="K19" s="697"/>
      <c r="L19" s="697"/>
      <c r="M19" s="697"/>
      <c r="N19" s="697"/>
      <c r="O19" s="697"/>
      <c r="P19" s="697"/>
      <c r="Q19" s="698"/>
      <c r="S19" s="3"/>
    </row>
    <row r="20" spans="3:19">
      <c r="C20" s="5"/>
      <c r="D20" s="6"/>
      <c r="E20" s="696"/>
      <c r="F20" s="697"/>
      <c r="G20" s="697"/>
      <c r="H20" s="697"/>
      <c r="I20" s="697"/>
      <c r="J20" s="697"/>
      <c r="K20" s="697"/>
      <c r="L20" s="697"/>
      <c r="M20" s="697"/>
      <c r="N20" s="697"/>
      <c r="O20" s="697"/>
      <c r="P20" s="697"/>
      <c r="Q20" s="698"/>
      <c r="R20" s="6"/>
      <c r="S20" s="7"/>
    </row>
    <row r="21" spans="3:19">
      <c r="E21" s="696"/>
      <c r="F21" s="697"/>
      <c r="G21" s="697"/>
      <c r="H21" s="697"/>
      <c r="I21" s="697"/>
      <c r="J21" s="697"/>
      <c r="K21" s="697"/>
      <c r="L21" s="697"/>
      <c r="M21" s="697"/>
      <c r="N21" s="697"/>
      <c r="O21" s="697"/>
      <c r="P21" s="697"/>
      <c r="Q21" s="698"/>
    </row>
    <row r="22" spans="3:19">
      <c r="E22" s="696"/>
      <c r="F22" s="697"/>
      <c r="G22" s="697"/>
      <c r="H22" s="697"/>
      <c r="I22" s="697"/>
      <c r="J22" s="697"/>
      <c r="K22" s="697"/>
      <c r="L22" s="697"/>
      <c r="M22" s="697"/>
      <c r="N22" s="697"/>
      <c r="O22" s="697"/>
      <c r="P22" s="697"/>
      <c r="Q22" s="698"/>
    </row>
    <row r="23" spans="3:19">
      <c r="E23" s="696"/>
      <c r="F23" s="697"/>
      <c r="G23" s="697"/>
      <c r="H23" s="697"/>
      <c r="I23" s="697"/>
      <c r="J23" s="697"/>
      <c r="K23" s="697"/>
      <c r="L23" s="697"/>
      <c r="M23" s="697"/>
      <c r="N23" s="697"/>
      <c r="O23" s="697"/>
      <c r="P23" s="697"/>
      <c r="Q23" s="698"/>
    </row>
    <row r="24" spans="3:19">
      <c r="E24" s="696"/>
      <c r="F24" s="697"/>
      <c r="G24" s="697"/>
      <c r="H24" s="697"/>
      <c r="I24" s="697"/>
      <c r="J24" s="697"/>
      <c r="K24" s="697"/>
      <c r="L24" s="697"/>
      <c r="M24" s="697"/>
      <c r="N24" s="697"/>
      <c r="O24" s="697"/>
      <c r="P24" s="697"/>
      <c r="Q24" s="698"/>
    </row>
    <row r="25" spans="3:19">
      <c r="E25" s="699"/>
      <c r="F25" s="700"/>
      <c r="G25" s="700"/>
      <c r="H25" s="700"/>
      <c r="I25" s="700"/>
      <c r="J25" s="700"/>
      <c r="K25" s="700"/>
      <c r="L25" s="700"/>
      <c r="M25" s="700"/>
      <c r="N25" s="700"/>
      <c r="O25" s="700"/>
      <c r="P25" s="700"/>
      <c r="Q25" s="701"/>
    </row>
    <row r="28" spans="3:19">
      <c r="F28" s="112"/>
      <c r="G28" s="113"/>
      <c r="H28" s="113"/>
      <c r="I28" s="113"/>
      <c r="J28" s="113"/>
      <c r="K28" s="113"/>
      <c r="L28" s="113"/>
      <c r="M28" s="113"/>
      <c r="N28" s="120"/>
    </row>
    <row r="29" spans="3:19">
      <c r="F29" s="114"/>
      <c r="G29" s="115" t="s">
        <v>3</v>
      </c>
      <c r="H29" s="116"/>
      <c r="I29" s="75"/>
      <c r="J29" s="116" t="s">
        <v>4</v>
      </c>
      <c r="K29" s="116"/>
      <c r="L29" s="116"/>
      <c r="M29" s="116"/>
      <c r="N29" s="121"/>
    </row>
    <row r="30" spans="3:19">
      <c r="F30" s="114"/>
      <c r="G30" s="116"/>
      <c r="H30" s="116"/>
      <c r="I30" s="76"/>
      <c r="J30" s="116" t="s">
        <v>5</v>
      </c>
      <c r="K30" s="116"/>
      <c r="L30" s="116"/>
      <c r="M30" s="116"/>
      <c r="N30" s="121"/>
    </row>
    <row r="31" spans="3:19">
      <c r="F31" s="114"/>
      <c r="G31" s="116"/>
      <c r="H31" s="116"/>
      <c r="I31" s="77"/>
      <c r="J31" s="116" t="s">
        <v>6</v>
      </c>
      <c r="K31" s="116"/>
      <c r="L31" s="116"/>
      <c r="M31" s="116"/>
      <c r="N31" s="121"/>
    </row>
    <row r="32" spans="3:19">
      <c r="F32" s="114"/>
      <c r="G32" s="116"/>
      <c r="H32" s="116"/>
      <c r="I32" s="78"/>
      <c r="J32" s="116" t="s">
        <v>7</v>
      </c>
      <c r="K32" s="116"/>
      <c r="L32" s="116"/>
      <c r="M32" s="116"/>
      <c r="N32" s="121"/>
    </row>
    <row r="33" spans="6:14">
      <c r="F33" s="114"/>
      <c r="G33" s="116"/>
      <c r="H33" s="116"/>
      <c r="I33" s="79"/>
      <c r="J33" s="116" t="s">
        <v>8</v>
      </c>
      <c r="K33" s="116"/>
      <c r="L33" s="116"/>
      <c r="M33" s="116"/>
      <c r="N33" s="121"/>
    </row>
    <row r="34" spans="6:14">
      <c r="F34" s="114"/>
      <c r="G34" s="116"/>
      <c r="H34" s="116"/>
      <c r="I34" s="80"/>
      <c r="J34" s="116" t="s">
        <v>9</v>
      </c>
      <c r="K34" s="116"/>
      <c r="L34" s="116"/>
      <c r="M34" s="116"/>
      <c r="N34" s="121"/>
    </row>
    <row r="35" spans="6:14">
      <c r="F35" s="114"/>
      <c r="G35" s="117"/>
      <c r="H35" s="117"/>
      <c r="I35" s="81"/>
      <c r="J35" s="116" t="s">
        <v>10</v>
      </c>
      <c r="K35" s="117"/>
      <c r="L35" s="117"/>
      <c r="M35" s="117"/>
      <c r="N35" s="122"/>
    </row>
    <row r="36" spans="6:14">
      <c r="F36" s="114"/>
      <c r="G36" s="117"/>
      <c r="H36" s="117"/>
      <c r="I36" s="82"/>
      <c r="J36" s="116" t="s">
        <v>11</v>
      </c>
      <c r="K36" s="117"/>
      <c r="L36" s="117"/>
      <c r="M36" s="117"/>
      <c r="N36" s="122"/>
    </row>
    <row r="37" spans="6:14">
      <c r="F37" s="114"/>
      <c r="G37" s="117"/>
      <c r="H37" s="117"/>
      <c r="I37" s="83"/>
      <c r="J37" s="116" t="s">
        <v>12</v>
      </c>
      <c r="K37" s="117"/>
      <c r="L37" s="117"/>
      <c r="M37" s="117"/>
      <c r="N37" s="122"/>
    </row>
    <row r="38" spans="6:14">
      <c r="F38" s="114"/>
      <c r="G38" s="117"/>
      <c r="H38" s="117"/>
      <c r="I38" s="84"/>
      <c r="J38" s="116" t="s">
        <v>13</v>
      </c>
      <c r="K38" s="117"/>
      <c r="L38" s="117"/>
      <c r="M38" s="117"/>
      <c r="N38" s="122"/>
    </row>
    <row r="39" spans="6:14">
      <c r="F39" s="118"/>
      <c r="G39" s="119"/>
      <c r="H39" s="119"/>
      <c r="I39" s="119"/>
      <c r="J39" s="119"/>
      <c r="K39" s="119"/>
      <c r="L39" s="119"/>
      <c r="M39" s="119"/>
      <c r="N39" s="123"/>
    </row>
    <row r="101" ht="6" customHeight="1"/>
    <row r="103" ht="21.2"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87" spans="4:18">
      <c r="D187" s="10"/>
      <c r="E187" s="11"/>
      <c r="F187" s="11"/>
      <c r="G187" s="11"/>
      <c r="H187" s="11"/>
      <c r="I187" s="11"/>
      <c r="J187" s="11"/>
      <c r="K187" s="11"/>
      <c r="L187" s="11"/>
      <c r="M187" s="11"/>
      <c r="N187" s="11"/>
      <c r="O187" s="11"/>
      <c r="P187" s="11"/>
      <c r="Q187" s="11"/>
      <c r="R187" s="12"/>
    </row>
    <row r="188" spans="4:18">
      <c r="D188" s="13"/>
      <c r="E188" s="14"/>
      <c r="F188" s="14"/>
      <c r="G188" s="14"/>
      <c r="H188" s="14"/>
      <c r="I188" s="14"/>
      <c r="J188" s="14"/>
      <c r="K188" s="14"/>
      <c r="L188" s="14"/>
      <c r="M188" s="14"/>
      <c r="N188" s="14"/>
      <c r="O188" s="14"/>
      <c r="P188" s="14"/>
      <c r="Q188" s="14"/>
      <c r="R188" s="15"/>
    </row>
    <row r="189" spans="4:18" ht="21">
      <c r="D189" s="13"/>
      <c r="E189" s="690" t="s">
        <v>14</v>
      </c>
      <c r="F189" s="691"/>
      <c r="G189" s="691"/>
      <c r="H189" s="691"/>
      <c r="I189" s="691"/>
      <c r="J189" s="691"/>
      <c r="K189" s="691"/>
      <c r="L189" s="691"/>
      <c r="M189" s="691"/>
      <c r="N189" s="691"/>
      <c r="O189" s="691"/>
      <c r="P189" s="691"/>
      <c r="Q189" s="692"/>
      <c r="R189" s="16"/>
    </row>
    <row r="190" spans="4:18" ht="14.45" customHeight="1">
      <c r="D190" s="13"/>
      <c r="E190" s="693"/>
      <c r="F190" s="694"/>
      <c r="G190" s="694"/>
      <c r="H190" s="694"/>
      <c r="I190" s="694"/>
      <c r="J190" s="694"/>
      <c r="K190" s="694"/>
      <c r="L190" s="694"/>
      <c r="M190" s="694"/>
      <c r="N190" s="694"/>
      <c r="O190" s="694"/>
      <c r="P190" s="694"/>
      <c r="Q190" s="695"/>
      <c r="R190" s="16"/>
    </row>
    <row r="191" spans="4:18" ht="14.45" customHeight="1">
      <c r="D191" s="13"/>
      <c r="E191" s="696"/>
      <c r="F191" s="697"/>
      <c r="G191" s="697"/>
      <c r="H191" s="697"/>
      <c r="I191" s="697"/>
      <c r="J191" s="697"/>
      <c r="K191" s="697"/>
      <c r="L191" s="697"/>
      <c r="M191" s="697"/>
      <c r="N191" s="697"/>
      <c r="O191" s="697"/>
      <c r="P191" s="697"/>
      <c r="Q191" s="698"/>
      <c r="R191" s="16"/>
    </row>
    <row r="192" spans="4:18" ht="14.45" customHeight="1">
      <c r="D192" s="13"/>
      <c r="E192" s="696"/>
      <c r="F192" s="697"/>
      <c r="G192" s="697"/>
      <c r="H192" s="697"/>
      <c r="I192" s="697"/>
      <c r="J192" s="697"/>
      <c r="K192" s="697"/>
      <c r="L192" s="697"/>
      <c r="M192" s="697"/>
      <c r="N192" s="697"/>
      <c r="O192" s="697"/>
      <c r="P192" s="697"/>
      <c r="Q192" s="698"/>
      <c r="R192" s="16"/>
    </row>
    <row r="193" spans="4:18" ht="14.45" customHeight="1">
      <c r="D193" s="13"/>
      <c r="E193" s="696"/>
      <c r="F193" s="697"/>
      <c r="G193" s="697"/>
      <c r="H193" s="697"/>
      <c r="I193" s="697"/>
      <c r="J193" s="697"/>
      <c r="K193" s="697"/>
      <c r="L193" s="697"/>
      <c r="M193" s="697"/>
      <c r="N193" s="697"/>
      <c r="O193" s="697"/>
      <c r="P193" s="697"/>
      <c r="Q193" s="698"/>
      <c r="R193" s="16"/>
    </row>
    <row r="194" spans="4:18" ht="14.45" customHeight="1">
      <c r="D194" s="13"/>
      <c r="E194" s="696"/>
      <c r="F194" s="697"/>
      <c r="G194" s="697"/>
      <c r="H194" s="697"/>
      <c r="I194" s="697"/>
      <c r="J194" s="697"/>
      <c r="K194" s="697"/>
      <c r="L194" s="697"/>
      <c r="M194" s="697"/>
      <c r="N194" s="697"/>
      <c r="O194" s="697"/>
      <c r="P194" s="697"/>
      <c r="Q194" s="698"/>
      <c r="R194" s="16"/>
    </row>
    <row r="195" spans="4:18" ht="14.45" customHeight="1">
      <c r="D195" s="13"/>
      <c r="E195" s="696"/>
      <c r="F195" s="697"/>
      <c r="G195" s="697"/>
      <c r="H195" s="697"/>
      <c r="I195" s="697"/>
      <c r="J195" s="697"/>
      <c r="K195" s="697"/>
      <c r="L195" s="697"/>
      <c r="M195" s="697"/>
      <c r="N195" s="697"/>
      <c r="O195" s="697"/>
      <c r="P195" s="697"/>
      <c r="Q195" s="698"/>
      <c r="R195" s="16"/>
    </row>
    <row r="196" spans="4:18" ht="14.45" customHeight="1">
      <c r="D196" s="13"/>
      <c r="E196" s="696"/>
      <c r="F196" s="697"/>
      <c r="G196" s="697"/>
      <c r="H196" s="697"/>
      <c r="I196" s="697"/>
      <c r="J196" s="697"/>
      <c r="K196" s="697"/>
      <c r="L196" s="697"/>
      <c r="M196" s="697"/>
      <c r="N196" s="697"/>
      <c r="O196" s="697"/>
      <c r="P196" s="697"/>
      <c r="Q196" s="698"/>
      <c r="R196" s="16"/>
    </row>
    <row r="197" spans="4:18" ht="14.45" customHeight="1">
      <c r="D197" s="13"/>
      <c r="E197" s="696"/>
      <c r="F197" s="697"/>
      <c r="G197" s="697"/>
      <c r="H197" s="697"/>
      <c r="I197" s="697"/>
      <c r="J197" s="697"/>
      <c r="K197" s="697"/>
      <c r="L197" s="697"/>
      <c r="M197" s="697"/>
      <c r="N197" s="697"/>
      <c r="O197" s="697"/>
      <c r="P197" s="697"/>
      <c r="Q197" s="698"/>
      <c r="R197" s="16"/>
    </row>
    <row r="198" spans="4:18" ht="14.45" customHeight="1">
      <c r="D198" s="13"/>
      <c r="E198" s="696"/>
      <c r="F198" s="697"/>
      <c r="G198" s="697"/>
      <c r="H198" s="697"/>
      <c r="I198" s="697"/>
      <c r="J198" s="697"/>
      <c r="K198" s="697"/>
      <c r="L198" s="697"/>
      <c r="M198" s="697"/>
      <c r="N198" s="697"/>
      <c r="O198" s="697"/>
      <c r="P198" s="697"/>
      <c r="Q198" s="698"/>
      <c r="R198" s="16"/>
    </row>
    <row r="199" spans="4:18" ht="14.45" customHeight="1">
      <c r="D199" s="13"/>
      <c r="E199" s="696"/>
      <c r="F199" s="697"/>
      <c r="G199" s="697"/>
      <c r="H199" s="697"/>
      <c r="I199" s="697"/>
      <c r="J199" s="697"/>
      <c r="K199" s="697"/>
      <c r="L199" s="697"/>
      <c r="M199" s="697"/>
      <c r="N199" s="697"/>
      <c r="O199" s="697"/>
      <c r="P199" s="697"/>
      <c r="Q199" s="698"/>
      <c r="R199" s="16"/>
    </row>
    <row r="200" spans="4:18" ht="14.45" customHeight="1">
      <c r="D200" s="13"/>
      <c r="E200" s="696"/>
      <c r="F200" s="697"/>
      <c r="G200" s="697"/>
      <c r="H200" s="697"/>
      <c r="I200" s="697"/>
      <c r="J200" s="697"/>
      <c r="K200" s="697"/>
      <c r="L200" s="697"/>
      <c r="M200" s="697"/>
      <c r="N200" s="697"/>
      <c r="O200" s="697"/>
      <c r="P200" s="697"/>
      <c r="Q200" s="698"/>
      <c r="R200" s="16"/>
    </row>
    <row r="201" spans="4:18" ht="14.45" customHeight="1">
      <c r="D201" s="13"/>
      <c r="E201" s="696"/>
      <c r="F201" s="697"/>
      <c r="G201" s="697"/>
      <c r="H201" s="697"/>
      <c r="I201" s="697"/>
      <c r="J201" s="697"/>
      <c r="K201" s="697"/>
      <c r="L201" s="697"/>
      <c r="M201" s="697"/>
      <c r="N201" s="697"/>
      <c r="O201" s="697"/>
      <c r="P201" s="697"/>
      <c r="Q201" s="698"/>
      <c r="R201" s="16"/>
    </row>
    <row r="202" spans="4:18" ht="14.45" customHeight="1">
      <c r="D202" s="13"/>
      <c r="E202" s="696"/>
      <c r="F202" s="697"/>
      <c r="G202" s="697"/>
      <c r="H202" s="697"/>
      <c r="I202" s="697"/>
      <c r="J202" s="697"/>
      <c r="K202" s="697"/>
      <c r="L202" s="697"/>
      <c r="M202" s="697"/>
      <c r="N202" s="697"/>
      <c r="O202" s="697"/>
      <c r="P202" s="697"/>
      <c r="Q202" s="698"/>
      <c r="R202" s="16"/>
    </row>
    <row r="203" spans="4:18" ht="14.45" customHeight="1">
      <c r="D203" s="13"/>
      <c r="E203" s="696"/>
      <c r="F203" s="697"/>
      <c r="G203" s="697"/>
      <c r="H203" s="697"/>
      <c r="I203" s="697"/>
      <c r="J203" s="697"/>
      <c r="K203" s="697"/>
      <c r="L203" s="697"/>
      <c r="M203" s="697"/>
      <c r="N203" s="697"/>
      <c r="O203" s="697"/>
      <c r="P203" s="697"/>
      <c r="Q203" s="698"/>
      <c r="R203" s="16"/>
    </row>
    <row r="204" spans="4:18" ht="14.45" customHeight="1">
      <c r="D204" s="13"/>
      <c r="E204" s="696"/>
      <c r="F204" s="697"/>
      <c r="G204" s="697"/>
      <c r="H204" s="697"/>
      <c r="I204" s="697"/>
      <c r="J204" s="697"/>
      <c r="K204" s="697"/>
      <c r="L204" s="697"/>
      <c r="M204" s="697"/>
      <c r="N204" s="697"/>
      <c r="O204" s="697"/>
      <c r="P204" s="697"/>
      <c r="Q204" s="698"/>
      <c r="R204" s="16"/>
    </row>
    <row r="205" spans="4:18" ht="14.45" customHeight="1">
      <c r="D205" s="13"/>
      <c r="E205" s="696"/>
      <c r="F205" s="697"/>
      <c r="G205" s="697"/>
      <c r="H205" s="697"/>
      <c r="I205" s="697"/>
      <c r="J205" s="697"/>
      <c r="K205" s="697"/>
      <c r="L205" s="697"/>
      <c r="M205" s="697"/>
      <c r="N205" s="697"/>
      <c r="O205" s="697"/>
      <c r="P205" s="697"/>
      <c r="Q205" s="698"/>
      <c r="R205" s="16"/>
    </row>
    <row r="206" spans="4:18" ht="14.45" customHeight="1">
      <c r="D206" s="13"/>
      <c r="E206" s="696"/>
      <c r="F206" s="697"/>
      <c r="G206" s="697"/>
      <c r="H206" s="697"/>
      <c r="I206" s="697"/>
      <c r="J206" s="697"/>
      <c r="K206" s="697"/>
      <c r="L206" s="697"/>
      <c r="M206" s="697"/>
      <c r="N206" s="697"/>
      <c r="O206" s="697"/>
      <c r="P206" s="697"/>
      <c r="Q206" s="698"/>
      <c r="R206" s="16"/>
    </row>
    <row r="207" spans="4:18" ht="14.45" customHeight="1">
      <c r="D207" s="13"/>
      <c r="E207" s="696"/>
      <c r="F207" s="697"/>
      <c r="G207" s="697"/>
      <c r="H207" s="697"/>
      <c r="I207" s="697"/>
      <c r="J207" s="697"/>
      <c r="K207" s="697"/>
      <c r="L207" s="697"/>
      <c r="M207" s="697"/>
      <c r="N207" s="697"/>
      <c r="O207" s="697"/>
      <c r="P207" s="697"/>
      <c r="Q207" s="698"/>
      <c r="R207" s="16"/>
    </row>
    <row r="208" spans="4:18" ht="14.45" customHeight="1">
      <c r="D208" s="13"/>
      <c r="E208" s="696"/>
      <c r="F208" s="697"/>
      <c r="G208" s="697"/>
      <c r="H208" s="697"/>
      <c r="I208" s="697"/>
      <c r="J208" s="697"/>
      <c r="K208" s="697"/>
      <c r="L208" s="697"/>
      <c r="M208" s="697"/>
      <c r="N208" s="697"/>
      <c r="O208" s="697"/>
      <c r="P208" s="697"/>
      <c r="Q208" s="698"/>
      <c r="R208" s="16"/>
    </row>
    <row r="209" spans="4:18" ht="14.45" customHeight="1">
      <c r="D209" s="13"/>
      <c r="E209" s="696"/>
      <c r="F209" s="697"/>
      <c r="G209" s="697"/>
      <c r="H209" s="697"/>
      <c r="I209" s="697"/>
      <c r="J209" s="697"/>
      <c r="K209" s="697"/>
      <c r="L209" s="697"/>
      <c r="M209" s="697"/>
      <c r="N209" s="697"/>
      <c r="O209" s="697"/>
      <c r="P209" s="697"/>
      <c r="Q209" s="698"/>
      <c r="R209" s="16"/>
    </row>
    <row r="210" spans="4:18" ht="14.45" customHeight="1">
      <c r="D210" s="13"/>
      <c r="E210" s="696"/>
      <c r="F210" s="697"/>
      <c r="G210" s="697"/>
      <c r="H210" s="697"/>
      <c r="I210" s="697"/>
      <c r="J210" s="697"/>
      <c r="K210" s="697"/>
      <c r="L210" s="697"/>
      <c r="M210" s="697"/>
      <c r="N210" s="697"/>
      <c r="O210" s="697"/>
      <c r="P210" s="697"/>
      <c r="Q210" s="698"/>
      <c r="R210" s="16"/>
    </row>
    <row r="211" spans="4:18" ht="14.45" customHeight="1">
      <c r="D211" s="13"/>
      <c r="E211" s="696"/>
      <c r="F211" s="697"/>
      <c r="G211" s="697"/>
      <c r="H211" s="697"/>
      <c r="I211" s="697"/>
      <c r="J211" s="697"/>
      <c r="K211" s="697"/>
      <c r="L211" s="697"/>
      <c r="M211" s="697"/>
      <c r="N211" s="697"/>
      <c r="O211" s="697"/>
      <c r="P211" s="697"/>
      <c r="Q211" s="698"/>
      <c r="R211" s="16"/>
    </row>
    <row r="212" spans="4:18" ht="14.45" customHeight="1">
      <c r="D212" s="13"/>
      <c r="E212" s="696"/>
      <c r="F212" s="697"/>
      <c r="G212" s="697"/>
      <c r="H212" s="697"/>
      <c r="I212" s="697"/>
      <c r="J212" s="697"/>
      <c r="K212" s="697"/>
      <c r="L212" s="697"/>
      <c r="M212" s="697"/>
      <c r="N212" s="697"/>
      <c r="O212" s="697"/>
      <c r="P212" s="697"/>
      <c r="Q212" s="698"/>
      <c r="R212" s="16"/>
    </row>
    <row r="213" spans="4:18" ht="14.45" customHeight="1">
      <c r="D213" s="13"/>
      <c r="E213" s="696"/>
      <c r="F213" s="697"/>
      <c r="G213" s="697"/>
      <c r="H213" s="697"/>
      <c r="I213" s="697"/>
      <c r="J213" s="697"/>
      <c r="K213" s="697"/>
      <c r="L213" s="697"/>
      <c r="M213" s="697"/>
      <c r="N213" s="697"/>
      <c r="O213" s="697"/>
      <c r="P213" s="697"/>
      <c r="Q213" s="698"/>
      <c r="R213" s="16"/>
    </row>
    <row r="214" spans="4:18">
      <c r="D214" s="13"/>
      <c r="E214" s="696"/>
      <c r="F214" s="697"/>
      <c r="G214" s="697"/>
      <c r="H214" s="697"/>
      <c r="I214" s="697"/>
      <c r="J214" s="697"/>
      <c r="K214" s="697"/>
      <c r="L214" s="697"/>
      <c r="M214" s="697"/>
      <c r="N214" s="697"/>
      <c r="O214" s="697"/>
      <c r="P214" s="697"/>
      <c r="Q214" s="698"/>
      <c r="R214" s="16"/>
    </row>
    <row r="215" spans="4:18">
      <c r="D215" s="13"/>
      <c r="E215" s="696"/>
      <c r="F215" s="697"/>
      <c r="G215" s="697"/>
      <c r="H215" s="697"/>
      <c r="I215" s="697"/>
      <c r="J215" s="697"/>
      <c r="K215" s="697"/>
      <c r="L215" s="697"/>
      <c r="M215" s="697"/>
      <c r="N215" s="697"/>
      <c r="O215" s="697"/>
      <c r="P215" s="697"/>
      <c r="Q215" s="698"/>
      <c r="R215" s="16"/>
    </row>
    <row r="216" spans="4:18">
      <c r="D216" s="13"/>
      <c r="E216" s="696"/>
      <c r="F216" s="697"/>
      <c r="G216" s="697"/>
      <c r="H216" s="697"/>
      <c r="I216" s="697"/>
      <c r="J216" s="697"/>
      <c r="K216" s="697"/>
      <c r="L216" s="697"/>
      <c r="M216" s="697"/>
      <c r="N216" s="697"/>
      <c r="O216" s="697"/>
      <c r="P216" s="697"/>
      <c r="Q216" s="698"/>
      <c r="R216" s="16"/>
    </row>
    <row r="217" spans="4:18">
      <c r="D217" s="13"/>
      <c r="E217" s="696"/>
      <c r="F217" s="697"/>
      <c r="G217" s="697"/>
      <c r="H217" s="697"/>
      <c r="I217" s="697"/>
      <c r="J217" s="697"/>
      <c r="K217" s="697"/>
      <c r="L217" s="697"/>
      <c r="M217" s="697"/>
      <c r="N217" s="697"/>
      <c r="O217" s="697"/>
      <c r="P217" s="697"/>
      <c r="Q217" s="698"/>
      <c r="R217" s="16"/>
    </row>
    <row r="218" spans="4:18">
      <c r="D218" s="13"/>
      <c r="E218" s="696"/>
      <c r="F218" s="697"/>
      <c r="G218" s="697"/>
      <c r="H218" s="697"/>
      <c r="I218" s="697"/>
      <c r="J218" s="697"/>
      <c r="K218" s="697"/>
      <c r="L218" s="697"/>
      <c r="M218" s="697"/>
      <c r="N218" s="697"/>
      <c r="O218" s="697"/>
      <c r="P218" s="697"/>
      <c r="Q218" s="698"/>
      <c r="R218" s="16"/>
    </row>
    <row r="219" spans="4:18">
      <c r="D219" s="13"/>
      <c r="E219" s="699"/>
      <c r="F219" s="700"/>
      <c r="G219" s="700"/>
      <c r="H219" s="700"/>
      <c r="I219" s="700"/>
      <c r="J219" s="700"/>
      <c r="K219" s="700"/>
      <c r="L219" s="700"/>
      <c r="M219" s="700"/>
      <c r="N219" s="700"/>
      <c r="O219" s="700"/>
      <c r="P219" s="700"/>
      <c r="Q219" s="701"/>
      <c r="R219" s="16"/>
    </row>
    <row r="220" spans="4:18">
      <c r="D220" s="13"/>
      <c r="E220" s="14"/>
      <c r="F220" s="14"/>
      <c r="G220" s="14"/>
      <c r="H220" s="14"/>
      <c r="I220" s="14"/>
      <c r="J220" s="14"/>
      <c r="K220" s="14"/>
      <c r="L220" s="14"/>
      <c r="M220" s="14"/>
      <c r="N220" s="14"/>
      <c r="O220" s="14"/>
      <c r="P220" s="14"/>
      <c r="Q220" s="14"/>
      <c r="R220" s="15"/>
    </row>
    <row r="221" spans="4:18">
      <c r="D221" s="18"/>
      <c r="E221" s="19"/>
      <c r="F221" s="19"/>
      <c r="G221" s="19"/>
      <c r="H221" s="19"/>
      <c r="I221" s="19"/>
      <c r="J221" s="19"/>
      <c r="K221" s="19"/>
      <c r="L221" s="19"/>
      <c r="M221" s="19"/>
      <c r="N221" s="19"/>
      <c r="O221" s="19"/>
      <c r="P221" s="19"/>
      <c r="Q221" s="19"/>
      <c r="R221" s="17"/>
    </row>
  </sheetData>
  <mergeCells count="5">
    <mergeCell ref="E189:Q189"/>
    <mergeCell ref="E190:Q219"/>
    <mergeCell ref="C2:S2"/>
    <mergeCell ref="E4:Q4"/>
    <mergeCell ref="E5:Q2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9BE1"/>
  </sheetPr>
  <dimension ref="A1:O30"/>
  <sheetViews>
    <sheetView zoomScale="55" zoomScaleNormal="55" workbookViewId="0">
      <selection activeCell="I7" sqref="I7"/>
    </sheetView>
  </sheetViews>
  <sheetFormatPr baseColWidth="10" defaultColWidth="10.5703125" defaultRowHeight="15"/>
  <cols>
    <col min="1" max="1" width="16.5703125" style="48" customWidth="1"/>
    <col min="2" max="2" width="14.7109375" style="1" customWidth="1"/>
    <col min="3" max="3" width="18.85546875" style="1" customWidth="1"/>
    <col min="4" max="4" width="50.85546875" style="1" customWidth="1"/>
    <col min="5" max="5" width="24.140625" style="1" customWidth="1"/>
    <col min="6" max="6" width="21.42578125" style="1" customWidth="1"/>
    <col min="7" max="7" width="25.28515625" style="1" customWidth="1"/>
    <col min="8" max="8" width="27.28515625" style="1" customWidth="1"/>
    <col min="9" max="9" width="33.140625" style="1" customWidth="1"/>
    <col min="10" max="10" width="20.42578125" style="1" customWidth="1"/>
    <col min="11" max="11" width="28.42578125" style="1" customWidth="1"/>
    <col min="12" max="12" width="20.5703125" style="1" customWidth="1"/>
    <col min="13" max="13" width="25" style="1" customWidth="1"/>
    <col min="14" max="14" width="40.28515625" style="1" customWidth="1"/>
    <col min="15" max="15" width="48" style="1" hidden="1" customWidth="1"/>
    <col min="16" max="16384" width="10.5703125" style="1"/>
  </cols>
  <sheetData>
    <row r="1" spans="1:15" ht="57.2" customHeight="1">
      <c r="B1" s="48"/>
      <c r="C1" s="48"/>
      <c r="D1" s="48"/>
      <c r="E1" s="48"/>
      <c r="F1" s="48"/>
      <c r="G1" s="48"/>
      <c r="H1" s="48"/>
      <c r="I1" s="48"/>
      <c r="J1" s="48"/>
      <c r="K1" s="48"/>
      <c r="L1" s="48"/>
      <c r="M1" s="48"/>
      <c r="N1" s="48"/>
    </row>
    <row r="3" spans="1:15" ht="18.75">
      <c r="C3" s="709" t="s">
        <v>772</v>
      </c>
      <c r="D3" s="709"/>
      <c r="E3" s="709"/>
      <c r="F3" s="709"/>
      <c r="G3" s="709"/>
      <c r="H3" s="709"/>
      <c r="I3" s="709"/>
      <c r="J3" s="709"/>
      <c r="K3" s="709"/>
      <c r="L3" s="709"/>
      <c r="M3" s="709"/>
      <c r="N3" s="709"/>
      <c r="O3" s="709"/>
    </row>
    <row r="5" spans="1:15" s="47" customFormat="1" ht="52.5" customHeight="1">
      <c r="A5" s="49"/>
      <c r="B5" s="47" t="s">
        <v>1078</v>
      </c>
      <c r="C5" s="209" t="s">
        <v>17</v>
      </c>
      <c r="D5" s="209" t="s">
        <v>18</v>
      </c>
      <c r="E5" s="209" t="s">
        <v>19</v>
      </c>
      <c r="F5" s="209" t="s">
        <v>20</v>
      </c>
      <c r="G5" s="209" t="s">
        <v>21</v>
      </c>
      <c r="H5" s="209" t="s">
        <v>22</v>
      </c>
      <c r="I5" s="209" t="s">
        <v>23</v>
      </c>
      <c r="J5" s="209" t="s">
        <v>24</v>
      </c>
      <c r="K5" s="209" t="s">
        <v>25</v>
      </c>
      <c r="L5" s="209" t="s">
        <v>26</v>
      </c>
      <c r="M5" s="209" t="s">
        <v>27</v>
      </c>
      <c r="N5" s="209" t="s">
        <v>28</v>
      </c>
    </row>
    <row r="6" spans="1:15" ht="86.45" customHeight="1">
      <c r="B6" s="164">
        <v>194</v>
      </c>
      <c r="C6" s="62" t="str">
        <f>VLOOKUP(Tableau1[[#This Row],[Colonne1]],Tableau124[#All],2,FALSE)</f>
        <v>Territoire de Belfort (90)</v>
      </c>
      <c r="D6" s="62" t="str">
        <f>VLOOKUP(Tableau1[[#This Row],[Colonne1]],Tableau124[#All],3,FALSE)</f>
        <v>Bavilliers</v>
      </c>
      <c r="E6" s="62" t="str">
        <f>VLOOKUP(Tableau1[[#This Row],[Colonne1]],Tableau124[#All],4,FALSE)</f>
        <v>90800</v>
      </c>
      <c r="F6" s="63" t="str">
        <f>VLOOKUP(Tableau1[[#This Row],[Colonne1]],Tableau124[#All],5,FALSE)</f>
        <v>Hôpital psychiatrique, 5 rte de Froideval</v>
      </c>
      <c r="G6" s="63" t="str">
        <f>VLOOKUP(Tableau1[[#This Row],[Colonne1]],Tableau124[#All],6,FALSE)</f>
        <v>ELSA</v>
      </c>
      <c r="H6" s="62" t="str">
        <f>VLOOKUP(Tableau1[[#This Row],[Colonne1]],Tableau124[#All],7,FALSE)</f>
        <v>AHBFC</v>
      </c>
      <c r="I6" s="62" t="str">
        <f>VLOOKUP(Tableau1[[#This Row],[Colonne1]],Tableau124[#All],8,FALSE)</f>
        <v>Associatif</v>
      </c>
      <c r="J6" s="327" t="str">
        <f>VLOOKUP(Tableau1[[#This Row],[Colonne1]],Tableau124[#All],9,FALSE)</f>
        <v>contact@ahbfc.fr</v>
      </c>
      <c r="K6" s="210" t="str">
        <f>VLOOKUP(Tableau1[[#This Row],[Colonne1]],Tableau124[#All],10,FALSE)</f>
        <v>03 84 57 45 37</v>
      </c>
      <c r="L6" s="327" t="str">
        <f>VLOOKUP(Tableau1[[#This Row],[Colonne1]],Tableau124[#All],11,FALSE)</f>
        <v>www.ahbfc.fr</v>
      </c>
      <c r="M6" s="257" t="str">
        <f>VLOOKUP(Tableau1[[#This Row],[Colonne1]],Tableau124[#All],12,FALSE)</f>
        <v xml:space="preserve"> </v>
      </c>
      <c r="N6" s="274" t="str">
        <f>VLOOKUP(Tableau1[[#This Row],[Colonne1]],Tableau124[#All],13,FALSE)</f>
        <v>- intervention auprès de public majeur ; 
- intervention en urgences HNFC, services MCO HNFC, services psychiatriques AHBFC</v>
      </c>
    </row>
    <row r="7" spans="1:15" ht="86.45" customHeight="1">
      <c r="B7" s="164">
        <v>198</v>
      </c>
      <c r="C7" s="139" t="str">
        <f>VLOOKUP(Tableau1[[#This Row],[Colonne1]],Tableau124[#All],2,FALSE)</f>
        <v>Territoire de Belfort (90)</v>
      </c>
      <c r="D7" s="139" t="str">
        <f>VLOOKUP(Tableau1[[#This Row],[Colonne1]],Tableau124[#All],3,FALSE)</f>
        <v>Belfort</v>
      </c>
      <c r="E7" s="139">
        <f>VLOOKUP(Tableau1[[#This Row],[Colonne1]],Tableau124[#All],4,FALSE)</f>
        <v>90000</v>
      </c>
      <c r="F7" s="139" t="str">
        <f>VLOOKUP(Tableau1[[#This Row],[Colonne1]],Tableau124[#All],5,FALSE)</f>
        <v>CMP Adultes, 53 Bd  Renaud de Bourgogne</v>
      </c>
      <c r="G7" s="139" t="str">
        <f>VLOOKUP(Tableau1[[#This Row],[Colonne1]],Tableau124[#All],6,FALSE)</f>
        <v>Consultations Hospitalières externes d'addictologie</v>
      </c>
      <c r="H7" s="139" t="str">
        <f>VLOOKUP(Tableau1[[#This Row],[Colonne1]],Tableau124[#All],7,FALSE)</f>
        <v>AHBFC</v>
      </c>
      <c r="I7" s="139" t="str">
        <f>VLOOKUP(Tableau1[[#This Row],[Colonne1]],Tableau124[#All],8,FALSE)</f>
        <v>Associatif</v>
      </c>
      <c r="J7" s="312" t="str">
        <f>VLOOKUP(Tableau1[[#This Row],[Colonne1]],Tableau124[#All],9,FALSE)</f>
        <v>contact@ahbfc.fr</v>
      </c>
      <c r="K7" s="242" t="str">
        <f>VLOOKUP(Tableau1[[#This Row],[Colonne1]],Tableau124[#All],10,FALSE)</f>
        <v>03 84 57 45 37</v>
      </c>
      <c r="L7" s="312" t="str">
        <f>VLOOKUP(Tableau1[[#This Row],[Colonne1]],Tableau124[#All],11,FALSE)</f>
        <v>www.ahbfc.fr</v>
      </c>
      <c r="M7" s="246" t="str">
        <f>VLOOKUP(Tableau1[[#This Row],[Colonne1]],Tableau124[#All],12,FALSE)</f>
        <v>du lundi au vendredi après-midi (14h-17h), sur rendez-vous.</v>
      </c>
      <c r="N7" s="130" t="str">
        <f>VLOOKUP(Tableau1[[#This Row],[Colonne1]],Tableau124[#All],13,FALSE)</f>
        <v>Intervention auprès de public majeurs</v>
      </c>
    </row>
    <row r="8" spans="1:15" ht="86.45" customHeight="1">
      <c r="B8" s="164">
        <v>195</v>
      </c>
      <c r="C8" s="142" t="str">
        <f>VLOOKUP(Tableau1[[#This Row],[Colonne1]],Tableau124[#All],2,FALSE)</f>
        <v>Territoire de Belfort (90)</v>
      </c>
      <c r="D8" s="142" t="str">
        <f>VLOOKUP(Tableau1[[#This Row],[Colonne1]],Tableau124[#All],3,FALSE)</f>
        <v>Bavilliers</v>
      </c>
      <c r="E8" s="142" t="str">
        <f>VLOOKUP(Tableau1[[#This Row],[Colonne1]],Tableau124[#All],4,FALSE)</f>
        <v>90800</v>
      </c>
      <c r="F8" s="142" t="str">
        <f>VLOOKUP(Tableau1[[#This Row],[Colonne1]],Tableau124[#All],5,FALSE)</f>
        <v>CPG
59 rue Paul Vinot
70400 Héricourt</v>
      </c>
      <c r="G8" s="142" t="str">
        <f>VLOOKUP(Tableau1[[#This Row],[Colonne1]],Tableau124[#All],6,FALSE)</f>
        <v>Sevrage simple</v>
      </c>
      <c r="H8" s="142" t="str">
        <f>VLOOKUP(Tableau1[[#This Row],[Colonne1]],Tableau124[#All],7,FALSE)</f>
        <v>AHBFC</v>
      </c>
      <c r="I8" s="142" t="str">
        <f>VLOOKUP(Tableau1[[#This Row],[Colonne1]],Tableau124[#All],8,FALSE)</f>
        <v>Associatif</v>
      </c>
      <c r="J8" s="335" t="str">
        <f>VLOOKUP(Tableau1[[#This Row],[Colonne1]],Tableau124[#All],9,FALSE)</f>
        <v>contact@ahbfc.fr</v>
      </c>
      <c r="K8" s="228" t="str">
        <f>VLOOKUP(Tableau1[[#This Row],[Colonne1]],Tableau124[#All],10,FALSE)</f>
        <v>03 84 90 89 00</v>
      </c>
      <c r="L8" s="333" t="str">
        <f>VLOOKUP(Tableau1[[#This Row],[Colonne1]],Tableau124[#All],11,FALSE)</f>
        <v>www.ahbfc.fr</v>
      </c>
      <c r="M8" s="258" t="str">
        <f>VLOOKUP(Tableau1[[#This Row],[Colonne1]],Tableau124[#All],12,FALSE)</f>
        <v xml:space="preserve"> </v>
      </c>
      <c r="N8" s="275" t="str">
        <f>VLOOKUP(Tableau1[[#This Row],[Colonne1]],Tableau124[#All],13,FALSE)</f>
        <v>- interventions auprès d'un public majeur ; 
- lits installés au sein d'une même unité ; 
- unité de CPG Héricourt, 3ème étage</v>
      </c>
    </row>
    <row r="9" spans="1:15" ht="86.45" customHeight="1">
      <c r="B9" s="164">
        <v>203</v>
      </c>
      <c r="C9" s="633" t="str">
        <f>VLOOKUP(Tableau1[[#This Row],[Colonne1]],Tableau124[#All],2,FALSE)</f>
        <v>Territoire de Belfort (90)</v>
      </c>
      <c r="D9" s="633" t="str">
        <f>VLOOKUP(Tableau1[[#This Row],[Colonne1]],Tableau124[#All],3,FALSE)</f>
        <v xml:space="preserve">Belfort </v>
      </c>
      <c r="E9" s="633">
        <f>VLOOKUP(Tableau1[[#This Row],[Colonne1]],Tableau124[#All],4,FALSE)</f>
        <v>90000</v>
      </c>
      <c r="F9" s="91" t="str">
        <f>VLOOKUP(Tableau1[[#This Row],[Colonne1]],Tableau124[#All],5,FALSE)</f>
        <v>4 rue Georges Koechlin</v>
      </c>
      <c r="G9" s="633" t="str">
        <f>VLOOKUP(Tableau1[[#This Row],[Colonne1]],Tableau124[#All],6,FALSE)</f>
        <v>CAARUD</v>
      </c>
      <c r="H9" s="633" t="str">
        <f>VLOOKUP(Tableau1[[#This Row],[Colonne1]],Tableau124[#All],7,FALSE)</f>
        <v>CAARUD ENTR'ACTES - Association d'Hygiène Sociale de Franche Comté</v>
      </c>
      <c r="I9" s="633" t="str">
        <f>VLOOKUP(Tableau1[[#This Row],[Colonne1]],Tableau124[#All],8,FALSE)</f>
        <v>Associatif</v>
      </c>
      <c r="J9" s="364" t="str">
        <f>VLOOKUP(Tableau1[[#This Row],[Colonne1]],Tableau124[#All],9,FALSE)</f>
        <v>pole-addictologie.nfc@ahs-fc.fr</v>
      </c>
      <c r="K9" s="250" t="str">
        <f>VLOOKUP(Tableau1[[#This Row],[Colonne1]],Tableau124[#All],10,FALSE)</f>
        <v>03.84.26.12.20</v>
      </c>
      <c r="L9" s="361" t="str">
        <f>VLOOKUP(Tableau1[[#This Row],[Colonne1]],Tableau124[#All],11,FALSE)</f>
        <v>www.ahs-fc.fr</v>
      </c>
      <c r="M9" s="263" t="str">
        <f>VLOOKUP(Tableau1[[#This Row],[Colonne1]],Tableau124[#All],12,FALSE)</f>
        <v>Belfort : 
mardi et vendredi de 11h à 16h</v>
      </c>
      <c r="N9" s="276" t="str">
        <f>VLOOKUP(Tableau1[[#This Row],[Colonne1]],Tableau124[#All],13,FALSE)</f>
        <v>- unité mobile K-mobile pouvant servir de lieu d'accueil (déplacements sur tout le territoire Nord-Franche-Comté) ; 
- programme d'échange de seringues ;
- interventions ponctuelles en maraude ; 
- intervention en milieu festif ;</v>
      </c>
    </row>
    <row r="10" spans="1:15" ht="86.45" customHeight="1">
      <c r="B10" s="461">
        <v>128</v>
      </c>
      <c r="C10" s="402" t="str">
        <f>VLOOKUP(Tableau1[[#This Row],[Colonne1]],Tableau124[#All],2,FALSE)</f>
        <v>Jura (39)</v>
      </c>
      <c r="D10" s="402" t="str">
        <f>VLOOKUP(Tableau1[[#This Row],[Colonne1]],Tableau124[#All],3,FALSE)</f>
        <v>Lons Le Saunier</v>
      </c>
      <c r="E10" s="402" t="str">
        <f>VLOOKUP(Tableau1[[#This Row],[Colonne1]],Tableau124[#All],4,FALSE)</f>
        <v>39000</v>
      </c>
      <c r="F10" s="402" t="str">
        <f>VLOOKUP(Tableau1[[#This Row],[Colonne1]],Tableau124[#All],5,FALSE)</f>
        <v>8 rue Jules Bury</v>
      </c>
      <c r="G10" s="402" t="str">
        <f>VLOOKUP(Tableau1[[#This Row],[Colonne1]],Tableau124[#All],6,FALSE)</f>
        <v>CAARUD de réduction des risques et des dommages à distance</v>
      </c>
      <c r="H10" s="402" t="str">
        <f>VLOOKUP(Tableau1[[#This Row],[Colonne1]],Tableau124[#All],7,FALSE)</f>
        <v>CAARUD Oppelia Passerelle 39</v>
      </c>
      <c r="I10" s="402" t="str">
        <f>VLOOKUP(Tableau1[[#This Row],[Colonne1]],Tableau124[#All],8,FALSE)</f>
        <v>Associatif</v>
      </c>
      <c r="J10" s="401" t="str">
        <f>VLOOKUP(Tableau1[[#This Row],[Colonne1]],Tableau124[#All],9,FALSE)</f>
        <v>contactp39@oppelia.fr</v>
      </c>
      <c r="K10" s="402" t="str">
        <f>VLOOKUP(Tableau1[[#This Row],[Colonne1]],Tableau124[#All],10,FALSE)</f>
        <v>03 84 24 66 83</v>
      </c>
      <c r="L10" s="401" t="str">
        <f>VLOOKUP(Tableau1[[#This Row],[Colonne1]],Tableau124[#All],11,FALSE)</f>
        <v>https://www.oppelia.fr/etablissement/passerelle-39-lons-le-saunier/</v>
      </c>
      <c r="M10" s="402" t="str">
        <f>VLOOKUP(Tableau1[[#This Row],[Colonne1]],Tableau124[#All],12,FALSE)</f>
        <v>Accueil fixe: mardi de 13h30 à 17h00, mercredi de 8h00 à 12h30, jeudi de 16h30 à 20h00</v>
      </c>
      <c r="N10" s="462" t="str">
        <f>VLOOKUP(Tableau1[[#This Row],[Colonne1]],Tableau124[#All],13,FALSE)</f>
        <v>- Permanences d'accueil ou accueil sur rendez-vous
- unité mobile pouvant servir de lieu d'accueil (déplacements sur tout le département du Jura) ; 
- programme d'échange de seringues ;
- intervention en maraude ; 
- mise à disposition de matériel de consommation à moindre risque ;
- proposition de test rapide d'orientation diagnostic (TROD) ; 
- dispositif TAPAJ
- intervention en milieu festif ;
- intervention en milieu pénitentier à la Maison d'arrêt de Lons-le-Saunier.</v>
      </c>
    </row>
    <row r="11" spans="1:15" ht="86.45" customHeight="1">
      <c r="B11" s="164">
        <v>199</v>
      </c>
      <c r="C11" s="139" t="str">
        <f>VLOOKUP(Tableau1[[#This Row],[Colonne1]],Tableau124[#All],2,FALSE)</f>
        <v>Territoire de Belfort (90)</v>
      </c>
      <c r="D11" s="139" t="str">
        <f>VLOOKUP(Tableau1[[#This Row],[Colonne1]],Tableau124[#All],3,FALSE)</f>
        <v>Belfort</v>
      </c>
      <c r="E11" s="139">
        <f>VLOOKUP(Tableau1[[#This Row],[Colonne1]],Tableau124[#All],4,FALSE)</f>
        <v>90000</v>
      </c>
      <c r="F11" s="139" t="str">
        <f>VLOOKUP(Tableau1[[#This Row],[Colonne1]],Tableau124[#All],5,FALSE)</f>
        <v>CMP, 2 Av. des Usines</v>
      </c>
      <c r="G11" s="139" t="str">
        <f>VLOOKUP(Tableau1[[#This Row],[Colonne1]],Tableau124[#All],6,FALSE)</f>
        <v>Consultations Hospitalières externes en tabacologie (autre lieu d'intervention)</v>
      </c>
      <c r="H11" s="139" t="str">
        <f>VLOOKUP(Tableau1[[#This Row],[Colonne1]],Tableau124[#All],7,FALSE)</f>
        <v>CMP (AHBFC)</v>
      </c>
      <c r="I11" s="139" t="str">
        <f>VLOOKUP(Tableau1[[#This Row],[Colonne1]],Tableau124[#All],8,FALSE)</f>
        <v>Associatif</v>
      </c>
      <c r="J11" s="312" t="str">
        <f>VLOOKUP(Tableau1[[#This Row],[Colonne1]],Tableau124[#All],9,FALSE)</f>
        <v>contact@ahbfc.fr</v>
      </c>
      <c r="K11" s="242" t="str">
        <f>VLOOKUP(Tableau1[[#This Row],[Colonne1]],Tableau124[#All],10,FALSE)</f>
        <v>03 84 68 25 00</v>
      </c>
      <c r="L11" s="312" t="str">
        <f>VLOOKUP(Tableau1[[#This Row],[Colonne1]],Tableau124[#All],11,FALSE)</f>
        <v>www.ahbfc.fr</v>
      </c>
      <c r="M11" s="246" t="str">
        <f>VLOOKUP(Tableau1[[#This Row],[Colonne1]],Tableau124[#All],12,FALSE)</f>
        <v>du lundi au vendredi 14h-17h</v>
      </c>
      <c r="N11" s="130" t="str">
        <f>VLOOKUP(Tableau1[[#This Row],[Colonne1]],Tableau124[#All],13,FALSE)</f>
        <v xml:space="preserve">Intervention auprès de public majeurs </v>
      </c>
    </row>
    <row r="12" spans="1:15" ht="86.45" customHeight="1">
      <c r="B12" s="164">
        <v>201</v>
      </c>
      <c r="C12" s="85" t="str">
        <f>VLOOKUP(Tableau1[[#This Row],[Colonne1]],Tableau124[#All],2,FALSE)</f>
        <v>Territoire de Belfort (90)</v>
      </c>
      <c r="D12" s="85" t="str">
        <f>VLOOKUP(Tableau1[[#This Row],[Colonne1]],Tableau124[#All],3,FALSE)</f>
        <v>Belfort</v>
      </c>
      <c r="E12" s="85" t="str">
        <f>VLOOKUP(Tableau1[[#This Row],[Colonne1]],Tableau124[#All],4,FALSE)</f>
        <v>90000</v>
      </c>
      <c r="F12" s="85" t="str">
        <f>VLOOKUP(Tableau1[[#This Row],[Colonne1]],Tableau124[#All],5,FALSE)</f>
        <v>6 Rue du Rhône</v>
      </c>
      <c r="G12" s="85" t="str">
        <f>VLOOKUP(Tableau1[[#This Row],[Colonne1]],Tableau124[#All],6,FALSE)</f>
        <v>CSAPA</v>
      </c>
      <c r="H12" s="85" t="str">
        <f>VLOOKUP(Tableau1[[#This Row],[Colonne1]],Tableau124[#All],7,FALSE)</f>
        <v>CSAPA de Belfort - Association Addictions France
CSAPA Le Relais Equinoxe - Association d'Hygiène Sociale de Franche Comté</v>
      </c>
      <c r="I12" s="85" t="str">
        <f>VLOOKUP(Tableau1[[#This Row],[Colonne1]],Tableau124[#All],8,FALSE)</f>
        <v>Associatif</v>
      </c>
      <c r="J12" s="317" t="str">
        <f>VLOOKUP(Tableau1[[#This Row],[Colonne1]],Tableau124[#All],9,FALSE)</f>
        <v>csapa.belfort@addictions-france.org
pole-addictologie.nfc@ahs-fc.fr</v>
      </c>
      <c r="K12" s="244" t="str">
        <f>VLOOKUP(Tableau1[[#This Row],[Colonne1]],Tableau124[#All],10,FALSE)</f>
        <v>03.84.22.31.39
03 84 21 76 02</v>
      </c>
      <c r="L12" s="317" t="str">
        <f>VLOOKUP(Tableau1[[#This Row],[Colonne1]],Tableau124[#All],11,FALSE)</f>
        <v>www.addictions-france.org
www.ahs-fc.fr</v>
      </c>
      <c r="M12" s="105" t="str">
        <f>VLOOKUP(Tableau1[[#This Row],[Colonne1]],Tableau124[#All],12,FALSE)</f>
        <v>Lundi au jeudi de 9h à 18h ; Vendredi de 9h à 16h
Consultations Jeunes Consommateurs : Mercredi 14h-17h (salle rdc rue du rhône) et sur les horaires du Csapa</v>
      </c>
      <c r="N12" s="287" t="str">
        <f>VLOOKUP(Tableau1[[#This Row],[Colonne1]],Tableau124[#All],13,FALSE)</f>
        <v>- Réalisation de consultations avancées sur Trevenans ;
- intervention en milieu festif ;
- Intervention en milieu pénitentiaire à la maison d'arrêt de Belfort ;
- proposition de test rapide d'orientation diagnostic (TROD) ; 
- présence d'une CJC.</v>
      </c>
    </row>
    <row r="13" spans="1:15" ht="86.45" customHeight="1">
      <c r="B13" s="164">
        <v>206</v>
      </c>
      <c r="C13" s="156" t="str">
        <f>VLOOKUP(Tableau1[[#This Row],[Colonne1]],Tableau124[#All],2,FALSE)</f>
        <v>Territoire de Belfort (90)</v>
      </c>
      <c r="D13" s="156" t="str">
        <f>VLOOKUP(Tableau1[[#This Row],[Colonne1]],Tableau124[#All],3,FALSE)</f>
        <v>Trévenans</v>
      </c>
      <c r="E13" s="156">
        <f>VLOOKUP(Tableau1[[#This Row],[Colonne1]],Tableau124[#All],4,FALSE)</f>
        <v>90400</v>
      </c>
      <c r="F13" s="156" t="str">
        <f>VLOOKUP(Tableau1[[#This Row],[Colonne1]],Tableau124[#All],5,FALSE)</f>
        <v>Hôpital Nord Franche-Comté, 100 route de Moval</v>
      </c>
      <c r="G13" s="156" t="str">
        <f>VLOOKUP(Tableau1[[#This Row],[Colonne1]],Tableau124[#All],6,FALSE)</f>
        <v>CSAPA (consultations avancées)</v>
      </c>
      <c r="H13" s="156" t="str">
        <f>VLOOKUP(Tableau1[[#This Row],[Colonne1]],Tableau124[#All],7,FALSE)</f>
        <v>CSAPA de Belfort - Association Addictions France - consultations avancées</v>
      </c>
      <c r="I13" s="156" t="str">
        <f>VLOOKUP(Tableau1[[#This Row],[Colonne1]],Tableau124[#All],8,FALSE)</f>
        <v>Associatif</v>
      </c>
      <c r="J13" s="317" t="str">
        <f>VLOOKUP(Tableau1[[#This Row],[Colonne1]],Tableau124[#All],9,FALSE)</f>
        <v>csapa.belfort@addictions-france.org</v>
      </c>
      <c r="K13" s="244" t="str">
        <f>VLOOKUP(Tableau1[[#This Row],[Colonne1]],Tableau124[#All],10,FALSE)</f>
        <v>03.84.22.31.40</v>
      </c>
      <c r="L13" s="317" t="str">
        <f>VLOOKUP(Tableau1[[#This Row],[Colonne1]],Tableau124[#All],11,FALSE)</f>
        <v>www.addictions-france.org</v>
      </c>
      <c r="M13" s="105" t="str">
        <f>VLOOKUP(Tableau1[[#This Row],[Colonne1]],Tableau124[#All],12,FALSE)</f>
        <v>Le lundi de 9h30 à 11h30 et le jeudi de 9h à 12h30</v>
      </c>
      <c r="N13" s="262" t="str">
        <f>VLOOKUP(Tableau1[[#This Row],[Colonne1]],Tableau124[#All],13,FALSE)</f>
        <v>Réalisation de consultations avancées</v>
      </c>
    </row>
    <row r="14" spans="1:15" ht="86.45" customHeight="1">
      <c r="B14" s="164">
        <v>204</v>
      </c>
      <c r="C14" s="225" t="str">
        <f>VLOOKUP(Tableau1[[#This Row],[Colonne1]],Tableau124[#All],2,FALSE)</f>
        <v>Territoire de Belfort (90)</v>
      </c>
      <c r="D14" s="156" t="str">
        <f>VLOOKUP(Tableau1[[#This Row],[Colonne1]],Tableau124[#All],3,FALSE)</f>
        <v>Delle</v>
      </c>
      <c r="E14" s="156">
        <f>VLOOKUP(Tableau1[[#This Row],[Colonne1]],Tableau124[#All],4,FALSE)</f>
        <v>90100</v>
      </c>
      <c r="F14" s="156" t="str">
        <f>VLOOKUP(Tableau1[[#This Row],[Colonne1]],Tableau124[#All],5,FALSE)</f>
        <v>Comité Inter-Entreprise
2 Rue Eugène Claret</v>
      </c>
      <c r="G14" s="156" t="str">
        <f>VLOOKUP(Tableau1[[#This Row],[Colonne1]],Tableau124[#All],6,FALSE)</f>
        <v>CSAPA (consultations avancées)</v>
      </c>
      <c r="H14" s="156" t="str">
        <f>VLOOKUP(Tableau1[[#This Row],[Colonne1]],Tableau124[#All],7,FALSE)</f>
        <v>CSAPA Le Relais Equinoxe - Association d'Hygiène Sociale de Franche Comté - consultations avancées</v>
      </c>
      <c r="I14" s="156" t="str">
        <f>VLOOKUP(Tableau1[[#This Row],[Colonne1]],Tableau124[#All],8,FALSE)</f>
        <v>Associatif</v>
      </c>
      <c r="J14" s="317" t="str">
        <f>VLOOKUP(Tableau1[[#This Row],[Colonne1]],Tableau124[#All],9,FALSE)</f>
        <v xml:space="preserve">pole-addictologie.nfc@afs-fc.fr </v>
      </c>
      <c r="K14" s="244" t="str">
        <f>VLOOKUP(Tableau1[[#This Row],[Colonne1]],Tableau124[#All],10,FALSE)</f>
        <v>03-84-21-76-02</v>
      </c>
      <c r="L14" s="318" t="str">
        <f>VLOOKUP(Tableau1[[#This Row],[Colonne1]],Tableau124[#All],11,FALSE)</f>
        <v>www.ahs-fc.fr</v>
      </c>
      <c r="M14" s="105" t="str">
        <f>VLOOKUP(Tableau1[[#This Row],[Colonne1]],Tableau124[#All],12,FALSE)</f>
        <v>09H – 16H un jeudi sur deux</v>
      </c>
      <c r="N14" s="292" t="str">
        <f>VLOOKUP(Tableau1[[#This Row],[Colonne1]],Tableau124[#All],13,FALSE)</f>
        <v>Réalisation de consultations avancées</v>
      </c>
    </row>
    <row r="15" spans="1:15" ht="86.45" customHeight="1">
      <c r="B15" s="164">
        <v>197</v>
      </c>
      <c r="C15" s="92" t="str">
        <f>VLOOKUP(Tableau1[[#This Row],[Colonne1]],Tableau124[#All],2,FALSE)</f>
        <v>Territoire de Belfort (90)</v>
      </c>
      <c r="D15" s="92" t="str">
        <f>VLOOKUP(Tableau1[[#This Row],[Colonne1]],Tableau124[#All],3,FALSE)</f>
        <v>Belfort</v>
      </c>
      <c r="E15" s="92">
        <f>VLOOKUP(Tableau1[[#This Row],[Colonne1]],Tableau124[#All],4,FALSE)</f>
        <v>90000</v>
      </c>
      <c r="F15" s="92" t="str">
        <f>VLOOKUP(Tableau1[[#This Row],[Colonne1]],Tableau124[#All],5,FALSE)</f>
        <v>6 rue du rhône</v>
      </c>
      <c r="G15" s="92" t="str">
        <f>VLOOKUP(Tableau1[[#This Row],[Colonne1]],Tableau124[#All],6,FALSE)</f>
        <v>CJC</v>
      </c>
      <c r="H15" s="92" t="str">
        <f>VLOOKUP(Tableau1[[#This Row],[Colonne1]],Tableau124[#All],7,FALSE)</f>
        <v>CSAPA Le Relais Equinoxe - Association d'Hygiène Sociale de Franche Comté</v>
      </c>
      <c r="I15" s="92" t="str">
        <f>VLOOKUP(Tableau1[[#This Row],[Colonne1]],Tableau124[#All],8,FALSE)</f>
        <v>Associatif</v>
      </c>
      <c r="J15" s="369" t="str">
        <f>VLOOKUP(Tableau1[[#This Row],[Colonne1]],Tableau124[#All],9,FALSE)</f>
        <v xml:space="preserve">pole-addictologie.nfc@afs-fc.fr </v>
      </c>
      <c r="K15" s="247" t="str">
        <f>VLOOKUP(Tableau1[[#This Row],[Colonne1]],Tableau124[#All],10,FALSE)</f>
        <v>03.84.21.76.02</v>
      </c>
      <c r="L15" s="369" t="str">
        <f>VLOOKUP(Tableau1[[#This Row],[Colonne1]],Tableau124[#All],11,FALSE)</f>
        <v>www.ahs-fc.fr</v>
      </c>
      <c r="M15" s="264" t="str">
        <f>VLOOKUP(Tableau1[[#This Row],[Colonne1]],Tableau124[#All],12,FALSE)</f>
        <v>Mercredi 14h 19h</v>
      </c>
      <c r="N15" s="277" t="str">
        <f>VLOOKUP(Tableau1[[#This Row],[Colonne1]],Tableau124[#All],13,FALSE)</f>
        <v xml:space="preserve">- Accueil des familles ; 
- Orientation avec et sans rendez-vous ;
- CJC accessible à la famille et l'entourage ; </v>
      </c>
    </row>
    <row r="16" spans="1:15" ht="86.45" customHeight="1">
      <c r="B16" s="164">
        <v>200</v>
      </c>
      <c r="C16" s="139" t="str">
        <f>VLOOKUP(Tableau1[[#This Row],[Colonne1]],Tableau124[#All],2,FALSE)</f>
        <v>Territoire de Belfort (90)</v>
      </c>
      <c r="D16" s="139" t="str">
        <f>VLOOKUP(Tableau1[[#This Row],[Colonne1]],Tableau124[#All],3,FALSE)</f>
        <v>Belfort</v>
      </c>
      <c r="E16" s="139">
        <f>VLOOKUP(Tableau1[[#This Row],[Colonne1]],Tableau124[#All],4,FALSE)</f>
        <v>90000</v>
      </c>
      <c r="F16" s="139" t="str">
        <f>VLOOKUP(Tableau1[[#This Row],[Colonne1]],Tableau124[#All],5,FALSE)</f>
        <v>5 Rue Jacqueline Auriol</v>
      </c>
      <c r="G16" s="139" t="str">
        <f>VLOOKUP(Tableau1[[#This Row],[Colonne1]],Tableau124[#All],6,FALSE)</f>
        <v>Consultations Hospitalières externes en tabacologie (autre lieu d'intervention)</v>
      </c>
      <c r="H16" s="139" t="str">
        <f>VLOOKUP(Tableau1[[#This Row],[Colonne1]],Tableau124[#All],7,FALSE)</f>
        <v>HNFC consultations Tech'nom (Hôpital Nord Franche-Comté)</v>
      </c>
      <c r="I16" s="139" t="str">
        <f>VLOOKUP(Tableau1[[#This Row],[Colonne1]],Tableau124[#All],8,FALSE)</f>
        <v>Public</v>
      </c>
      <c r="J16" s="312" t="str">
        <f>VLOOKUP(Tableau1[[#This Row],[Colonne1]],Tableau124[#All],9,FALSE)</f>
        <v>ds.secretariat@hnfc.fr</v>
      </c>
      <c r="K16" s="242" t="str">
        <f>VLOOKUP(Tableau1[[#This Row],[Colonne1]],Tableau124[#All],10,FALSE)</f>
        <v>03 84 98 30 40</v>
      </c>
      <c r="L16" s="312" t="str">
        <f>VLOOKUP(Tableau1[[#This Row],[Colonne1]],Tableau124[#All],11,FALSE)</f>
        <v>www.hnfc.fr</v>
      </c>
      <c r="M16" s="246" t="str">
        <f>VLOOKUP(Tableau1[[#This Row],[Colonne1]],Tableau124[#All],12,FALSE)</f>
        <v>lundi 9h à 12h</v>
      </c>
      <c r="N16" s="130" t="str">
        <f>VLOOKUP(Tableau1[[#This Row],[Colonne1]],Tableau124[#All],13,FALSE)</f>
        <v>Intervention auprès de public majeurs ainsi qu'à l'Hôpital Nord Franche-Comté</v>
      </c>
    </row>
    <row r="17" spans="2:14" ht="86.45" customHeight="1">
      <c r="B17" s="164">
        <v>205</v>
      </c>
      <c r="C17" s="111" t="str">
        <f>VLOOKUP(Tableau1[[#This Row],[Colonne1]],Tableau124[#All],2,FALSE)</f>
        <v>Territoire de Belfort (90)</v>
      </c>
      <c r="D17" s="111" t="str">
        <f>VLOOKUP(Tableau1[[#This Row],[Colonne1]],Tableau124[#All],3,FALSE)</f>
        <v>Trévenans</v>
      </c>
      <c r="E17" s="111">
        <f>VLOOKUP(Tableau1[[#This Row],[Colonne1]],Tableau124[#All],4,FALSE)</f>
        <v>90400</v>
      </c>
      <c r="F17" s="111" t="str">
        <f>VLOOKUP(Tableau1[[#This Row],[Colonne1]],Tableau124[#All],5,FALSE)</f>
        <v>100 Rte de Moval</v>
      </c>
      <c r="G17" s="111" t="str">
        <f>VLOOKUP(Tableau1[[#This Row],[Colonne1]],Tableau124[#All],6,FALSE)</f>
        <v>Consultations Hospitalières externes d'addictologie (autre lieu d'intervention)</v>
      </c>
      <c r="H17" s="111" t="str">
        <f>VLOOKUP(Tableau1[[#This Row],[Colonne1]],Tableau124[#All],7,FALSE)</f>
        <v>HNFC consultations Tech'nom (Hôpital Nord Franche-Comté)</v>
      </c>
      <c r="I17" s="111" t="str">
        <f>VLOOKUP(Tableau1[[#This Row],[Colonne1]],Tableau124[#All],8,FALSE)</f>
        <v>Public</v>
      </c>
      <c r="J17" s="312" t="str">
        <f>VLOOKUP(Tableau1[[#This Row],[Colonne1]],Tableau124[#All],9,FALSE)</f>
        <v>ds.secretariat@hnfc.fr</v>
      </c>
      <c r="K17" s="242" t="str">
        <f>VLOOKUP(Tableau1[[#This Row],[Colonne1]],Tableau124[#All],10,FALSE)</f>
        <v>03 84 98 20 20</v>
      </c>
      <c r="L17" s="311" t="str">
        <f>VLOOKUP(Tableau1[[#This Row],[Colonne1]],Tableau124[#All],11,FALSE)</f>
        <v>www.hnfc.fr</v>
      </c>
      <c r="M17" s="246" t="str">
        <f>VLOOKUP(Tableau1[[#This Row],[Colonne1]],Tableau124[#All],12,FALSE)</f>
        <v>lundi 8H30 à 12H au Tech'nom
vendredi 13H30 à 18H sur le site de Trévenans</v>
      </c>
      <c r="N17" s="130" t="str">
        <f>VLOOKUP(Tableau1[[#This Row],[Colonne1]],Tableau124[#All],13,FALSE)</f>
        <v>Intervention auprès de public majeurs ainsi qu'à l'Hôpital Nord Franche-Comté</v>
      </c>
    </row>
    <row r="18" spans="2:14" ht="86.45" customHeight="1"/>
    <row r="19" spans="2:14" ht="86.45" customHeight="1"/>
    <row r="20" spans="2:14" ht="86.45" customHeight="1"/>
    <row r="21" spans="2:14" ht="86.45" customHeight="1"/>
    <row r="22" spans="2:14" ht="86.45" customHeight="1"/>
    <row r="23" spans="2:14" ht="86.45" customHeight="1"/>
    <row r="24" spans="2:14" ht="86.45" customHeight="1"/>
    <row r="25" spans="2:14" ht="86.45" customHeight="1"/>
    <row r="26" spans="2:14" ht="86.45" customHeight="1"/>
    <row r="27" spans="2:14" ht="86.45" customHeight="1"/>
    <row r="28" spans="2:14" ht="86.45" customHeight="1"/>
    <row r="29" spans="2:14" ht="86.45" customHeight="1"/>
    <row r="30" spans="2:14" ht="86.45" customHeight="1"/>
  </sheetData>
  <mergeCells count="1">
    <mergeCell ref="C3:O3"/>
  </mergeCells>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C5ED"/>
  </sheetPr>
  <dimension ref="A1:N46"/>
  <sheetViews>
    <sheetView zoomScale="53" zoomScaleNormal="70" workbookViewId="0">
      <selection activeCell="A24" sqref="A24:XFD24"/>
    </sheetView>
  </sheetViews>
  <sheetFormatPr baseColWidth="10" defaultColWidth="10.5703125" defaultRowHeight="15"/>
  <cols>
    <col min="1" max="1" width="16.5703125" style="48" customWidth="1"/>
    <col min="2" max="2" width="5" style="1" customWidth="1"/>
    <col min="3" max="3" width="28.5703125" style="1" customWidth="1"/>
    <col min="4" max="4" width="18.42578125" style="1" customWidth="1"/>
    <col min="5" max="5" width="24.140625" style="1" customWidth="1"/>
    <col min="6" max="6" width="15.42578125" style="1" customWidth="1"/>
    <col min="7" max="7" width="19.42578125" style="1" customWidth="1"/>
    <col min="8" max="8" width="16.85546875" style="1" customWidth="1"/>
    <col min="9" max="9" width="14.42578125" style="1" customWidth="1"/>
    <col min="10" max="10" width="26.42578125" style="1" customWidth="1"/>
    <col min="11" max="12" width="21.42578125" style="1" customWidth="1"/>
    <col min="13" max="13" width="27.42578125" style="1" customWidth="1"/>
    <col min="14" max="14" width="48" style="1" hidden="1" customWidth="1"/>
    <col min="15" max="16384" width="10.5703125" style="1"/>
  </cols>
  <sheetData>
    <row r="1" spans="1:14" ht="56.25" customHeight="1">
      <c r="B1" s="48"/>
      <c r="C1" s="48"/>
      <c r="D1" s="48"/>
      <c r="E1" s="48"/>
      <c r="F1" s="48"/>
      <c r="G1" s="48"/>
      <c r="H1" s="48"/>
      <c r="I1" s="48"/>
      <c r="J1" s="48"/>
      <c r="K1" s="48"/>
      <c r="L1" s="48"/>
      <c r="M1" s="48"/>
    </row>
    <row r="3" spans="1:14" ht="18.75">
      <c r="C3" s="709"/>
      <c r="D3" s="709"/>
      <c r="E3" s="709"/>
      <c r="F3" s="709"/>
      <c r="G3" s="709"/>
      <c r="H3" s="709"/>
      <c r="I3" s="709"/>
      <c r="J3" s="709"/>
      <c r="K3" s="709"/>
      <c r="L3" s="709"/>
      <c r="M3" s="709"/>
      <c r="N3" s="709"/>
    </row>
    <row r="5" spans="1:14" ht="45">
      <c r="A5" s="49"/>
      <c r="B5" s="73" t="s">
        <v>1078</v>
      </c>
      <c r="C5" s="73" t="s">
        <v>18</v>
      </c>
      <c r="D5" s="73" t="s">
        <v>19</v>
      </c>
      <c r="E5" s="73" t="s">
        <v>20</v>
      </c>
      <c r="F5" s="73" t="s">
        <v>21</v>
      </c>
      <c r="G5" s="73" t="s">
        <v>22</v>
      </c>
      <c r="H5" s="73" t="s">
        <v>23</v>
      </c>
      <c r="I5" s="73" t="s">
        <v>24</v>
      </c>
      <c r="J5" s="73" t="s">
        <v>25</v>
      </c>
      <c r="K5" s="73" t="s">
        <v>26</v>
      </c>
      <c r="L5" s="73" t="s">
        <v>27</v>
      </c>
      <c r="M5" s="74" t="s">
        <v>28</v>
      </c>
    </row>
    <row r="6" spans="1:14" ht="86.45" customHeight="1">
      <c r="B6" s="164">
        <v>194</v>
      </c>
      <c r="C6" s="210" t="str">
        <f>VLOOKUP(Tableau22[[#This Row],[Colonne1]],Tableau124[#All],3,FALSE)</f>
        <v>Bavilliers</v>
      </c>
      <c r="D6" s="210" t="str">
        <f>VLOOKUP(Tableau22[[#This Row],[Colonne1]],Tableau124[#All],4,FALSE)</f>
        <v>90800</v>
      </c>
      <c r="E6" s="211" t="str">
        <f>VLOOKUP(Tableau22[[#This Row],[Colonne1]],Tableau124[#All],5,FALSE)</f>
        <v>Hôpital psychiatrique, 5 rte de Froideval</v>
      </c>
      <c r="F6" s="211" t="str">
        <f>VLOOKUP(Tableau22[[#This Row],[Colonne1]],Tableau124[#All],6,FALSE)</f>
        <v>ELSA</v>
      </c>
      <c r="G6" s="210" t="str">
        <f>VLOOKUP(Tableau22[[#This Row],[Colonne1]],Tableau124[#All],7,FALSE)</f>
        <v>AHBFC</v>
      </c>
      <c r="H6" s="210" t="str">
        <f>VLOOKUP(Tableau22[[#This Row],[Colonne1]],Tableau124[#All],8,FALSE)</f>
        <v>Associatif</v>
      </c>
      <c r="I6" s="327" t="str">
        <f>VLOOKUP(Tableau22[[#This Row],[Colonne1]],Tableau124[#All],9,FALSE)</f>
        <v>contact@ahbfc.fr</v>
      </c>
      <c r="J6" s="371" t="str">
        <f>VLOOKUP(Tableau22[[#This Row],[Colonne1]],Tableau124[#All],10,FALSE)</f>
        <v>03 84 57 45 37</v>
      </c>
      <c r="K6" s="328" t="str">
        <f>VLOOKUP(Tableau22[[#This Row],[Colonne1]],Tableau124[#All],11,FALSE)</f>
        <v>www.ahbfc.fr</v>
      </c>
      <c r="L6" s="258" t="str">
        <f>VLOOKUP(Tableau22[[#This Row],[Colonne1]],Tableau124[#All],12,FALSE)</f>
        <v xml:space="preserve"> </v>
      </c>
      <c r="M6" s="638" t="str">
        <f>VLOOKUP(Tableau22[[#This Row],[Colonne1]],Tableau124[#All],13,FALSE)</f>
        <v>- intervention auprès de public majeur ; 
- intervention en urgences HNFC, services MCO HNFC, services psychiatriques AHBFC</v>
      </c>
    </row>
    <row r="7" spans="1:14" ht="86.45" customHeight="1">
      <c r="B7" s="164">
        <v>67</v>
      </c>
      <c r="C7" s="111" t="str">
        <f>VLOOKUP(Tableau22[[#This Row],[Colonne1]],Tableau124[#All],3,FALSE)</f>
        <v>Montbéliard</v>
      </c>
      <c r="D7" s="111">
        <f>VLOOKUP(Tableau22[[#This Row],[Colonne1]],Tableau124[#All],4,FALSE)</f>
        <v>25200</v>
      </c>
      <c r="E7" s="111" t="str">
        <f>VLOOKUP(Tableau22[[#This Row],[Colonne1]],Tableau124[#All],5,FALSE)</f>
        <v>CMP Adultes, 9 avenue Léon Blum</v>
      </c>
      <c r="F7" s="111" t="str">
        <f>VLOOKUP(Tableau22[[#This Row],[Colonne1]],Tableau124[#All],6,FALSE)</f>
        <v>Consultations Hospitalières externes d'addictologie</v>
      </c>
      <c r="G7" s="111" t="str">
        <f>VLOOKUP(Tableau22[[#This Row],[Colonne1]],Tableau124[#All],7,FALSE)</f>
        <v>AHBFC</v>
      </c>
      <c r="H7" s="111" t="str">
        <f>VLOOKUP(Tableau22[[#This Row],[Colonne1]],Tableau124[#All],8,FALSE)</f>
        <v>Associatif</v>
      </c>
      <c r="I7" s="311" t="str">
        <f>VLOOKUP(Tableau22[[#This Row],[Colonne1]],Tableau124[#All],9,FALSE)</f>
        <v>contact@ahbfc.fr</v>
      </c>
      <c r="J7" s="239" t="str">
        <f>VLOOKUP(Tableau22[[#This Row],[Colonne1]],Tableau124[#All],10,FALSE)</f>
        <v>03 81 90 76 10</v>
      </c>
      <c r="K7" s="311" t="str">
        <f>VLOOKUP(Tableau22[[#This Row],[Colonne1]],Tableau124[#All],11,FALSE)</f>
        <v>www.ahbfc.fr</v>
      </c>
      <c r="L7" s="129" t="str">
        <f>VLOOKUP(Tableau22[[#This Row],[Colonne1]],Tableau124[#All],12,FALSE)</f>
        <v>du lundi au vendredi après-midi (14h-17h), sur rendez-vous.</v>
      </c>
      <c r="M7" s="129" t="str">
        <f>VLOOKUP(Tableau22[[#This Row],[Colonne1]],Tableau124[#All],13,FALSE)</f>
        <v>Intervention auprès de public majeurs</v>
      </c>
    </row>
    <row r="8" spans="1:14" ht="86.45" customHeight="1">
      <c r="B8" s="164">
        <v>91</v>
      </c>
      <c r="C8" s="129" t="str">
        <f>VLOOKUP(Tableau22[[#This Row],[Colonne1]],Tableau124[#All],3,FALSE)</f>
        <v>Héricourt</v>
      </c>
      <c r="D8" s="129">
        <f>VLOOKUP(Tableau22[[#This Row],[Colonne1]],Tableau124[#All],4,FALSE)</f>
        <v>70400</v>
      </c>
      <c r="E8" s="129" t="str">
        <f>VLOOKUP(Tableau22[[#This Row],[Colonne1]],Tableau124[#All],5,FALSE)</f>
        <v>Association Hospitalière de Bourgogne-Franche-Comté, 9 rue martin Niemöller</v>
      </c>
      <c r="F8" s="129" t="str">
        <f>VLOOKUP(Tableau22[[#This Row],[Colonne1]],Tableau124[#All],6,FALSE)</f>
        <v>Consultations Hospitalières externes d'addictologie</v>
      </c>
      <c r="G8" s="129" t="str">
        <f>VLOOKUP(Tableau22[[#This Row],[Colonne1]],Tableau124[#All],7,FALSE)</f>
        <v>AHBFC</v>
      </c>
      <c r="H8" s="129" t="str">
        <f>VLOOKUP(Tableau22[[#This Row],[Colonne1]],Tableau124[#All],8,FALSE)</f>
        <v>Associatif</v>
      </c>
      <c r="I8" s="311" t="str">
        <f>VLOOKUP(Tableau22[[#This Row],[Colonne1]],Tableau124[#All],9,FALSE)</f>
        <v>contact@ahbfc.fr</v>
      </c>
      <c r="J8" s="239" t="str">
        <f>VLOOKUP(Tableau22[[#This Row],[Colonne1]],Tableau124[#All],10,FALSE)</f>
        <v xml:space="preserve">03 81 90 76 10 </v>
      </c>
      <c r="K8" s="311" t="str">
        <f>VLOOKUP(Tableau22[[#This Row],[Colonne1]],Tableau124[#All],11,FALSE)</f>
        <v>www.ahbfc.fr</v>
      </c>
      <c r="L8" s="129" t="str">
        <f>VLOOKUP(Tableau22[[#This Row],[Colonne1]],Tableau124[#All],12,FALSE)</f>
        <v>du lundi au vendredi après-midi (14h-17h), sur rendez-vous.</v>
      </c>
      <c r="M8" s="129" t="str">
        <f>VLOOKUP(Tableau22[[#This Row],[Colonne1]],Tableau124[#All],13,FALSE)</f>
        <v>Intervention auprès de public majeurs</v>
      </c>
    </row>
    <row r="9" spans="1:14" ht="86.45" customHeight="1">
      <c r="B9" s="164">
        <v>198</v>
      </c>
      <c r="C9" s="213" t="str">
        <f>VLOOKUP(Tableau22[[#This Row],[Colonne1]],Tableau124[#All],3,FALSE)</f>
        <v>Belfort</v>
      </c>
      <c r="D9" s="213">
        <f>VLOOKUP(Tableau22[[#This Row],[Colonne1]],Tableau124[#All],4,FALSE)</f>
        <v>90000</v>
      </c>
      <c r="E9" s="111" t="str">
        <f>VLOOKUP(Tableau22[[#This Row],[Colonne1]],Tableau124[#All],5,FALSE)</f>
        <v>CMP Adultes, 53 Bd  Renaud de Bourgogne</v>
      </c>
      <c r="F9" s="213" t="str">
        <f>VLOOKUP(Tableau22[[#This Row],[Colonne1]],Tableau124[#All],6,FALSE)</f>
        <v>Consultations Hospitalières externes d'addictologie</v>
      </c>
      <c r="G9" s="213" t="str">
        <f>VLOOKUP(Tableau22[[#This Row],[Colonne1]],Tableau124[#All],7,FALSE)</f>
        <v>AHBFC</v>
      </c>
      <c r="H9" s="213" t="str">
        <f>VLOOKUP(Tableau22[[#This Row],[Colonne1]],Tableau124[#All],8,FALSE)</f>
        <v>Associatif</v>
      </c>
      <c r="I9" s="312" t="str">
        <f>VLOOKUP(Tableau22[[#This Row],[Colonne1]],Tableau124[#All],9,FALSE)</f>
        <v>contact@ahbfc.fr</v>
      </c>
      <c r="J9" s="242" t="str">
        <f>VLOOKUP(Tableau22[[#This Row],[Colonne1]],Tableau124[#All],10,FALSE)</f>
        <v>03 84 57 45 37</v>
      </c>
      <c r="K9" s="311" t="str">
        <f>VLOOKUP(Tableau22[[#This Row],[Colonne1]],Tableau124[#All],11,FALSE)</f>
        <v>www.ahbfc.fr</v>
      </c>
      <c r="L9" s="246" t="str">
        <f>VLOOKUP(Tableau22[[#This Row],[Colonne1]],Tableau124[#All],12,FALSE)</f>
        <v>du lundi au vendredi après-midi (14h-17h), sur rendez-vous.</v>
      </c>
      <c r="M9" s="130" t="str">
        <f>VLOOKUP(Tableau22[[#This Row],[Colonne1]],Tableau124[#All],13,FALSE)</f>
        <v>Intervention auprès de public majeurs</v>
      </c>
    </row>
    <row r="10" spans="1:14" ht="86.45" customHeight="1">
      <c r="B10" s="164">
        <v>195</v>
      </c>
      <c r="C10" s="96" t="str">
        <f>VLOOKUP(Tableau22[[#This Row],[Colonne1]],Tableau124[#All],3,FALSE)</f>
        <v>Bavilliers</v>
      </c>
      <c r="D10" s="96" t="str">
        <f>VLOOKUP(Tableau22[[#This Row],[Colonne1]],Tableau124[#All],4,FALSE)</f>
        <v>90800</v>
      </c>
      <c r="E10" s="96" t="str">
        <f>VLOOKUP(Tableau22[[#This Row],[Colonne1]],Tableau124[#All],5,FALSE)</f>
        <v>CPG
59 rue Paul Vinot
70400 Héricourt</v>
      </c>
      <c r="F10" s="96" t="str">
        <f>VLOOKUP(Tableau22[[#This Row],[Colonne1]],Tableau124[#All],6,FALSE)</f>
        <v>Sevrage simple</v>
      </c>
      <c r="G10" s="96" t="str">
        <f>VLOOKUP(Tableau22[[#This Row],[Colonne1]],Tableau124[#All],7,FALSE)</f>
        <v>AHBFC</v>
      </c>
      <c r="H10" s="96" t="str">
        <f>VLOOKUP(Tableau22[[#This Row],[Colonne1]],Tableau124[#All],8,FALSE)</f>
        <v>Associatif</v>
      </c>
      <c r="I10" s="335" t="str">
        <f>VLOOKUP(Tableau22[[#This Row],[Colonne1]],Tableau124[#All],9,FALSE)</f>
        <v>contact@ahbfc.fr</v>
      </c>
      <c r="J10" s="406" t="str">
        <f>VLOOKUP(Tableau22[[#This Row],[Colonne1]],Tableau124[#All],10,FALSE)</f>
        <v>03 84 90 89 00</v>
      </c>
      <c r="K10" s="333" t="str">
        <f>VLOOKUP(Tableau22[[#This Row],[Colonne1]],Tableau124[#All],11,FALSE)</f>
        <v>www.ahbfc.fr</v>
      </c>
      <c r="L10" s="257" t="str">
        <f>VLOOKUP(Tableau22[[#This Row],[Colonne1]],Tableau124[#All],12,FALSE)</f>
        <v xml:space="preserve"> </v>
      </c>
      <c r="M10" s="291" t="str">
        <f>VLOOKUP(Tableau22[[#This Row],[Colonne1]],Tableau124[#All],13,FALSE)</f>
        <v>- interventions auprès d'un public majeur ; 
- lits installés au sein d'une même unité ; 
- unité de CPG Héricourt, 3ème étage</v>
      </c>
    </row>
    <row r="11" spans="1:14" ht="86.45" customHeight="1">
      <c r="B11" s="164">
        <v>66</v>
      </c>
      <c r="C11" s="203" t="str">
        <f>VLOOKUP(Tableau22[[#This Row],[Colonne1]],Tableau124[#All],3,FALSE)</f>
        <v>Montbéliard</v>
      </c>
      <c r="D11" s="203" t="str">
        <f>VLOOKUP(Tableau22[[#This Row],[Colonne1]],Tableau124[#All],4,FALSE)</f>
        <v>25200</v>
      </c>
      <c r="E11" s="203" t="str">
        <f>VLOOKUP(Tableau22[[#This Row],[Colonne1]],Tableau124[#All],5,FALSE)</f>
        <v>30 Fbg de Besançon</v>
      </c>
      <c r="F11" s="203" t="str">
        <f>VLOOKUP(Tableau22[[#This Row],[Colonne1]],Tableau124[#All],6,FALSE)</f>
        <v>CAARUD</v>
      </c>
      <c r="G11" s="203" t="str">
        <f>VLOOKUP(Tableau22[[#This Row],[Colonne1]],Tableau124[#All],7,FALSE)</f>
        <v>CAARUD ENTR'ACTES - Association d'Hygiène Sociale de Franche Comté</v>
      </c>
      <c r="H11" s="203" t="str">
        <f>VLOOKUP(Tableau22[[#This Row],[Colonne1]],Tableau124[#All],8,FALSE)</f>
        <v>Associatif</v>
      </c>
      <c r="I11" s="364" t="str">
        <f>VLOOKUP(Tableau22[[#This Row],[Colonne1]],Tableau124[#All],9,FALSE)</f>
        <v>pole-addictologie.nfc@ahs-fc.fr</v>
      </c>
      <c r="J11" s="250" t="str">
        <f>VLOOKUP(Tableau22[[#This Row],[Colonne1]],Tableau124[#All],10,FALSE)</f>
        <v>03.81.31.29.41</v>
      </c>
      <c r="K11" s="359" t="str">
        <f>VLOOKUP(Tableau22[[#This Row],[Colonne1]],Tableau124[#All],11,FALSE)</f>
        <v>www.ahs-fc.fr</v>
      </c>
      <c r="L11" s="263" t="str">
        <f>VLOOKUP(Tableau22[[#This Row],[Colonne1]],Tableau124[#All],12,FALSE)</f>
        <v>Montbéliard :
lundi et jeudi de 10h à 15h</v>
      </c>
      <c r="M11" s="276" t="str">
        <f>VLOOKUP(Tableau22[[#This Row],[Colonne1]],Tableau124[#All],13,FALSE)</f>
        <v>- unité mobile pouvant servir de lieu d'accueil (déplacements sur tout le territoire Nord-Franche-Comté) ; 
- programme d'échange de seringues ;
- interventions ponctuelles en maraude ; 
- intervention en milieu festif ;
L’unité Mobile est rattachée au CAARUD : kmobile.nfc@ahs-fc.fr, kmobile.nfc@ahs-fc.fr, 06-85-11-08-91 (Semaine impaire ; mardi, mercred et jeudi
Semaine paire : mercredi, jeudi 
10h-16h)</v>
      </c>
    </row>
    <row r="12" spans="1:14" s="176" customFormat="1" ht="86.45" customHeight="1">
      <c r="A12" s="175"/>
      <c r="B12" s="174">
        <v>203</v>
      </c>
      <c r="C12" s="468" t="str">
        <f>VLOOKUP(Tableau22[[#This Row],[Colonne1]],Tableau124[#All],3,FALSE)</f>
        <v xml:space="preserve">Belfort </v>
      </c>
      <c r="D12" s="468">
        <f>VLOOKUP(Tableau22[[#This Row],[Colonne1]],Tableau124[#All],4,FALSE)</f>
        <v>90000</v>
      </c>
      <c r="E12" s="468" t="str">
        <f>VLOOKUP(Tableau22[[#This Row],[Colonne1]],Tableau124[#All],5,FALSE)</f>
        <v>4 rue Georges Koechlin</v>
      </c>
      <c r="F12" s="468" t="str">
        <f>VLOOKUP(Tableau22[[#This Row],[Colonne1]],Tableau124[#All],6,FALSE)</f>
        <v>CAARUD</v>
      </c>
      <c r="G12" s="468" t="str">
        <f>VLOOKUP(Tableau22[[#This Row],[Colonne1]],Tableau124[#All],7,FALSE)</f>
        <v>CAARUD ENTR'ACTES - Association d'Hygiène Sociale de Franche Comté</v>
      </c>
      <c r="H12" s="468" t="str">
        <f>VLOOKUP(Tableau22[[#This Row],[Colonne1]],Tableau124[#All],8,FALSE)</f>
        <v>Associatif</v>
      </c>
      <c r="I12" s="456" t="str">
        <f>VLOOKUP(Tableau22[[#This Row],[Colonne1]],Tableau124[#All],9,FALSE)</f>
        <v>pole-addictologie.nfc@ahs-fc.fr</v>
      </c>
      <c r="J12" s="250" t="str">
        <f>VLOOKUP(Tableau22[[#This Row],[Colonne1]],Tableau124[#All],10,FALSE)</f>
        <v>03.84.26.12.20</v>
      </c>
      <c r="K12" s="472" t="str">
        <f>VLOOKUP(Tableau22[[#This Row],[Colonne1]],Tableau124[#All],11,FALSE)</f>
        <v>www.ahs-fc.fr</v>
      </c>
      <c r="L12" s="464" t="str">
        <f>VLOOKUP(Tableau22[[#This Row],[Colonne1]],Tableau124[#All],12,FALSE)</f>
        <v>Belfort : 
mardi et vendredi de 11h à 16h</v>
      </c>
      <c r="M12" s="471" t="str">
        <f>VLOOKUP(Tableau22[[#This Row],[Colonne1]],Tableau124[#All],13,FALSE)</f>
        <v>- unité mobile K-mobile pouvant servir de lieu d'accueil (déplacements sur tout le territoire Nord-Franche-Comté) ; 
- programme d'échange de seringues ;
- interventions ponctuelles en maraude ; 
- intervention en milieu festif ;</v>
      </c>
    </row>
    <row r="13" spans="1:14" s="176" customFormat="1" ht="86.45" customHeight="1">
      <c r="A13" s="175"/>
      <c r="B13" s="174">
        <v>128</v>
      </c>
      <c r="C13" s="468" t="str">
        <f>VLOOKUP(Tableau22[[#This Row],[Colonne1]],Tableau124[#All],3,FALSE)</f>
        <v>Lons Le Saunier</v>
      </c>
      <c r="D13" s="468" t="str">
        <f>VLOOKUP(Tableau22[[#This Row],[Colonne1]],Tableau124[#All],4,FALSE)</f>
        <v>39000</v>
      </c>
      <c r="E13" s="468" t="str">
        <f>VLOOKUP(Tableau22[[#This Row],[Colonne1]],Tableau124[#All],5,FALSE)</f>
        <v>8 rue Jules Bury</v>
      </c>
      <c r="F13" s="468" t="str">
        <f>VLOOKUP(Tableau22[[#This Row],[Colonne1]],Tableau124[#All],6,FALSE)</f>
        <v>CAARUD de réduction des risques et des dommages à distance</v>
      </c>
      <c r="G13" s="468" t="str">
        <f>VLOOKUP(Tableau22[[#This Row],[Colonne1]],Tableau124[#All],7,FALSE)</f>
        <v>CAARUD Oppelia Passerelle 39</v>
      </c>
      <c r="H13" s="468" t="str">
        <f>VLOOKUP(Tableau22[[#This Row],[Colonne1]],Tableau124[#All],8,FALSE)</f>
        <v>Associatif</v>
      </c>
      <c r="I13" s="456" t="str">
        <f>VLOOKUP(Tableau22[[#This Row],[Colonne1]],Tableau124[#All],9,FALSE)</f>
        <v>contactp39@oppelia.fr</v>
      </c>
      <c r="J13" s="250" t="str">
        <f>VLOOKUP(Tableau22[[#This Row],[Colonne1]],Tableau124[#All],10,FALSE)</f>
        <v>03 84 24 66 83</v>
      </c>
      <c r="K13" s="467" t="str">
        <f>VLOOKUP(Tableau22[[#This Row],[Colonne1]],Tableau124[#All],11,FALSE)</f>
        <v>https://www.oppelia.fr/etablissement/passerelle-39-lons-le-saunier/</v>
      </c>
      <c r="L13" s="468" t="str">
        <f>VLOOKUP(Tableau22[[#This Row],[Colonne1]],Tableau124[#All],12,FALSE)</f>
        <v>Accueil fixe: mardi de 13h30 à 17h00, mercredi de 8h00 à 12h30, jeudi de 16h30 à 20h00</v>
      </c>
      <c r="M13" s="471" t="str">
        <f>VLOOKUP(Tableau22[[#This Row],[Colonne1]],Tableau124[#All],13,FALSE)</f>
        <v>- Permanences d'accueil ou accueil sur rendez-vous
- unité mobile pouvant servir de lieu d'accueil (déplacements sur tout le département du Jura) ; 
- programme d'échange de seringues ;
- intervention en maraude ; 
- mise à disposition de matériel de consommation à moindre risque ;
- proposition de test rapide d'orientation diagnostic (TROD) ; 
- dispositif TAPAJ
- intervention en milieu festif ;
- intervention en milieu pénitentier à la Maison d'arrêt de Lons-le-Saunier.</v>
      </c>
    </row>
    <row r="14" spans="1:14" s="176" customFormat="1" ht="86.45" customHeight="1">
      <c r="A14" s="175"/>
      <c r="B14" s="164">
        <v>199</v>
      </c>
      <c r="C14" s="213" t="str">
        <f>VLOOKUP(Tableau22[[#This Row],[Colonne1]],Tableau124[#All],3,FALSE)</f>
        <v>Belfort</v>
      </c>
      <c r="D14" s="213">
        <f>VLOOKUP(Tableau22[[#This Row],[Colonne1]],Tableau124[#All],4,FALSE)</f>
        <v>90000</v>
      </c>
      <c r="E14" s="111" t="str">
        <f>VLOOKUP(Tableau22[[#This Row],[Colonne1]],Tableau124[#All],5,FALSE)</f>
        <v>CMP, 2 Av. des Usines</v>
      </c>
      <c r="F14" s="213" t="str">
        <f>VLOOKUP(Tableau22[[#This Row],[Colonne1]],Tableau124[#All],6,FALSE)</f>
        <v>Consultations Hospitalières externes en tabacologie (autre lieu d'intervention)</v>
      </c>
      <c r="G14" s="213" t="str">
        <f>VLOOKUP(Tableau22[[#This Row],[Colonne1]],Tableau124[#All],7,FALSE)</f>
        <v>CMP (AHBFC)</v>
      </c>
      <c r="H14" s="213" t="str">
        <f>VLOOKUP(Tableau22[[#This Row],[Colonne1]],Tableau124[#All],8,FALSE)</f>
        <v>Associatif</v>
      </c>
      <c r="I14" s="312" t="str">
        <f>VLOOKUP(Tableau22[[#This Row],[Colonne1]],Tableau124[#All],9,FALSE)</f>
        <v>contact@ahbfc.fr</v>
      </c>
      <c r="J14" s="242" t="str">
        <f>VLOOKUP(Tableau22[[#This Row],[Colonne1]],Tableau124[#All],10,FALSE)</f>
        <v>03 84 68 25 00</v>
      </c>
      <c r="K14" s="311" t="str">
        <f>VLOOKUP(Tableau22[[#This Row],[Colonne1]],Tableau124[#All],11,FALSE)</f>
        <v>www.ahbfc.fr</v>
      </c>
      <c r="L14" s="246" t="str">
        <f>VLOOKUP(Tableau22[[#This Row],[Colonne1]],Tableau124[#All],12,FALSE)</f>
        <v>du lundi au vendredi 14h-17h</v>
      </c>
      <c r="M14" s="130" t="str">
        <f>VLOOKUP(Tableau22[[#This Row],[Colonne1]],Tableau124[#All],13,FALSE)</f>
        <v xml:space="preserve">Intervention auprès de public majeurs </v>
      </c>
    </row>
    <row r="15" spans="1:14" s="176" customFormat="1" ht="86.45" customHeight="1">
      <c r="A15" s="175"/>
      <c r="B15" s="164">
        <v>201</v>
      </c>
      <c r="C15" s="156" t="str">
        <f>VLOOKUP(Tableau22[[#This Row],[Colonne1]],Tableau124[#All],3,FALSE)</f>
        <v>Belfort</v>
      </c>
      <c r="D15" s="156" t="str">
        <f>VLOOKUP(Tableau22[[#This Row],[Colonne1]],Tableau124[#All],4,FALSE)</f>
        <v>90000</v>
      </c>
      <c r="E15" s="156" t="str">
        <f>VLOOKUP(Tableau22[[#This Row],[Colonne1]],Tableau124[#All],5,FALSE)</f>
        <v>6 Rue du Rhône</v>
      </c>
      <c r="F15" s="156" t="str">
        <f>VLOOKUP(Tableau22[[#This Row],[Colonne1]],Tableau124[#All],6,FALSE)</f>
        <v>CSAPA</v>
      </c>
      <c r="G15" s="156" t="str">
        <f>VLOOKUP(Tableau22[[#This Row],[Colonne1]],Tableau124[#All],7,FALSE)</f>
        <v>CSAPA de Belfort - Association Addictions France
CSAPA Le Relais Equinoxe - Association d'Hygiène Sociale de Franche Comté</v>
      </c>
      <c r="H15" s="156" t="str">
        <f>VLOOKUP(Tableau22[[#This Row],[Colonne1]],Tableau124[#All],8,FALSE)</f>
        <v>Associatif</v>
      </c>
      <c r="I15" s="317" t="str">
        <f>VLOOKUP(Tableau22[[#This Row],[Colonne1]],Tableau124[#All],9,FALSE)</f>
        <v>csapa.belfort@addictions-france.org
pole-addictologie.nfc@ahs-fc.fr</v>
      </c>
      <c r="J15" s="244" t="str">
        <f>VLOOKUP(Tableau22[[#This Row],[Colonne1]],Tableau124[#All],10,FALSE)</f>
        <v>03.84.22.31.39
03 84 21 76 02</v>
      </c>
      <c r="K15" s="318" t="str">
        <f>VLOOKUP(Tableau22[[#This Row],[Colonne1]],Tableau124[#All],11,FALSE)</f>
        <v>www.addictions-france.org
www.ahs-fc.fr</v>
      </c>
      <c r="L15" s="105" t="str">
        <f>VLOOKUP(Tableau22[[#This Row],[Colonne1]],Tableau124[#All],12,FALSE)</f>
        <v>Lundi au jeudi de 9h à 18h ; Vendredi de 9h à 16h
Consultations Jeunes Consommateurs : Mercredi 14h-17h (salle rdc rue du rhône) et sur les horaires du Csapa</v>
      </c>
      <c r="M15" s="287" t="str">
        <f>VLOOKUP(Tableau22[[#This Row],[Colonne1]],Tableau124[#All],13,FALSE)</f>
        <v>- Réalisation de consultations avancées sur Trevenans ;
- intervention en milieu festif ;
- Intervention en milieu pénitentiaire à la maison d'arrêt de Belfort ;
- proposition de test rapide d'orientation diagnostic (TROD) ; 
- présence d'une CJC.</v>
      </c>
    </row>
    <row r="16" spans="1:14" s="176" customFormat="1" ht="86.45" customHeight="1">
      <c r="A16" s="175"/>
      <c r="B16" s="164">
        <v>206</v>
      </c>
      <c r="C16" s="634" t="str">
        <f>VLOOKUP(Tableau22[[#This Row],[Colonne1]],Tableau124[#All],3,FALSE)</f>
        <v>Trévenans</v>
      </c>
      <c r="D16" s="634">
        <f>VLOOKUP(Tableau22[[#This Row],[Colonne1]],Tableau124[#All],4,FALSE)</f>
        <v>90400</v>
      </c>
      <c r="E16" s="634" t="str">
        <f>VLOOKUP(Tableau22[[#This Row],[Colonne1]],Tableau124[#All],5,FALSE)</f>
        <v>Hôpital Nord Franche-Comté, 100 route de Moval</v>
      </c>
      <c r="F16" s="634" t="str">
        <f>VLOOKUP(Tableau22[[#This Row],[Colonne1]],Tableau124[#All],6,FALSE)</f>
        <v>CSAPA (consultations avancées)</v>
      </c>
      <c r="G16" s="634" t="str">
        <f>VLOOKUP(Tableau22[[#This Row],[Colonne1]],Tableau124[#All],7,FALSE)</f>
        <v>CSAPA de Belfort - Association Addictions France - consultations avancées</v>
      </c>
      <c r="H16" s="634" t="str">
        <f>VLOOKUP(Tableau22[[#This Row],[Colonne1]],Tableau124[#All],8,FALSE)</f>
        <v>Associatif</v>
      </c>
      <c r="I16" s="635" t="str">
        <f>VLOOKUP(Tableau22[[#This Row],[Colonne1]],Tableau124[#All],9,FALSE)</f>
        <v>csapa.belfort@addictions-france.org</v>
      </c>
      <c r="J16" s="244" t="str">
        <f>VLOOKUP(Tableau22[[#This Row],[Colonne1]],Tableau124[#All],10,FALSE)</f>
        <v>03.84.22.31.40</v>
      </c>
      <c r="K16" s="465" t="str">
        <f>VLOOKUP(Tableau22[[#This Row],[Colonne1]],Tableau124[#All],11,FALSE)</f>
        <v>www.addictions-france.org</v>
      </c>
      <c r="L16" s="634" t="str">
        <f>VLOOKUP(Tableau22[[#This Row],[Colonne1]],Tableau124[#All],12,FALSE)</f>
        <v>Le lundi de 9h30 à 11h30 et le jeudi de 9h à 12h30</v>
      </c>
      <c r="M16" s="639" t="str">
        <f>VLOOKUP(Tableau22[[#This Row],[Colonne1]],Tableau124[#All],13,FALSE)</f>
        <v>Réalisation de consultations avancées</v>
      </c>
    </row>
    <row r="17" spans="1:13" s="176" customFormat="1" ht="86.45" customHeight="1">
      <c r="A17" s="175"/>
      <c r="B17" s="164">
        <v>90</v>
      </c>
      <c r="C17" s="101" t="str">
        <f>VLOOKUP(Tableau22[[#This Row],[Colonne1]],Tableau124[#All],3,FALSE)</f>
        <v>Héricourt</v>
      </c>
      <c r="D17" s="101">
        <f>VLOOKUP(Tableau22[[#This Row],[Colonne1]],Tableau124[#All],4,FALSE)</f>
        <v>70400</v>
      </c>
      <c r="E17" s="101" t="str">
        <f>VLOOKUP(Tableau22[[#This Row],[Colonne1]],Tableau124[#All],5,FALSE)</f>
        <v>25 avenue Léon Jouhaux, BP 6</v>
      </c>
      <c r="F17" s="156" t="str">
        <f>VLOOKUP(Tableau22[[#This Row],[Colonne1]],Tableau124[#All],6,FALSE)</f>
        <v>Antenne CSAPA</v>
      </c>
      <c r="G17" s="156" t="str">
        <f>VLOOKUP(Tableau22[[#This Row],[Colonne1]],Tableau124[#All],7,FALSE)</f>
        <v>CSAPA Le Relais Equinoxe - Association d'Hygiène Sociale de Franche Comté</v>
      </c>
      <c r="H17" s="156" t="str">
        <f>VLOOKUP(Tableau22[[#This Row],[Colonne1]],Tableau124[#All],8,FALSE)</f>
        <v>Associatif</v>
      </c>
      <c r="I17" s="317" t="str">
        <f>VLOOKUP(Tableau22[[#This Row],[Colonne1]],Tableau124[#All],9,FALSE)</f>
        <v>pole-addictologie.nfc@ahs-fc.fr</v>
      </c>
      <c r="J17" s="244" t="str">
        <f>VLOOKUP(Tableau22[[#This Row],[Colonne1]],Tableau124[#All],10,FALSE)</f>
        <v>03 84 36 67 07</v>
      </c>
      <c r="K17" s="318" t="str">
        <f>VLOOKUP(Tableau22[[#This Row],[Colonne1]],Tableau124[#All],11,FALSE)</f>
        <v>www.ahs-fc.fr</v>
      </c>
      <c r="L17" s="105" t="str">
        <f>VLOOKUP(Tableau22[[#This Row],[Colonne1]],Tableau124[#All],12,FALSE)</f>
        <v>Lundi au jeudi de 9h à 16h 
Vendredi : 9h-13h30 et 14h30-16h</v>
      </c>
      <c r="M17" s="149" t="str">
        <f>VLOOKUP(Tableau22[[#This Row],[Colonne1]],Tableau124[#All],13,FALSE)</f>
        <v xml:space="preserve"> </v>
      </c>
    </row>
    <row r="18" spans="1:13" s="176" customFormat="1" ht="86.45" customHeight="1">
      <c r="A18" s="175"/>
      <c r="B18" s="164">
        <v>197</v>
      </c>
      <c r="C18" s="212" t="str">
        <f>VLOOKUP(Tableau22[[#This Row],[Colonne1]],Tableau124[#All],3,FALSE)</f>
        <v>Belfort</v>
      </c>
      <c r="D18" s="212">
        <f>VLOOKUP(Tableau22[[#This Row],[Colonne1]],Tableau124[#All],4,FALSE)</f>
        <v>90000</v>
      </c>
      <c r="E18" s="212" t="str">
        <f>VLOOKUP(Tableau22[[#This Row],[Colonne1]],Tableau124[#All],5,FALSE)</f>
        <v>6 rue du rhône</v>
      </c>
      <c r="F18" s="212" t="str">
        <f>VLOOKUP(Tableau22[[#This Row],[Colonne1]],Tableau124[#All],6,FALSE)</f>
        <v>CJC</v>
      </c>
      <c r="G18" s="212" t="str">
        <f>VLOOKUP(Tableau22[[#This Row],[Colonne1]],Tableau124[#All],7,FALSE)</f>
        <v>CSAPA Le Relais Equinoxe - Association d'Hygiène Sociale de Franche Comté</v>
      </c>
      <c r="H18" s="212" t="str">
        <f>VLOOKUP(Tableau22[[#This Row],[Colonne1]],Tableau124[#All],8,FALSE)</f>
        <v>Associatif</v>
      </c>
      <c r="I18" s="369" t="str">
        <f>VLOOKUP(Tableau22[[#This Row],[Colonne1]],Tableau124[#All],9,FALSE)</f>
        <v xml:space="preserve">pole-addictologie.nfc@afs-fc.fr </v>
      </c>
      <c r="J18" s="247" t="str">
        <f>VLOOKUP(Tableau22[[#This Row],[Colonne1]],Tableau124[#All],10,FALSE)</f>
        <v>03.84.21.76.02</v>
      </c>
      <c r="K18" s="368" t="str">
        <f>VLOOKUP(Tableau22[[#This Row],[Colonne1]],Tableau124[#All],11,FALSE)</f>
        <v>www.ahs-fc.fr</v>
      </c>
      <c r="L18" s="264" t="str">
        <f>VLOOKUP(Tableau22[[#This Row],[Colonne1]],Tableau124[#All],12,FALSE)</f>
        <v>Mercredi 14h 19h</v>
      </c>
      <c r="M18" s="277" t="str">
        <f>VLOOKUP(Tableau22[[#This Row],[Colonne1]],Tableau124[#All],13,FALSE)</f>
        <v xml:space="preserve">- Accueil des familles ; 
- Orientation avec et sans rendez-vous ;
- CJC accessible à la famille et l'entourage ; </v>
      </c>
    </row>
    <row r="19" spans="1:13" s="176" customFormat="1" ht="86.45" customHeight="1">
      <c r="A19" s="175"/>
      <c r="B19" s="187">
        <v>68</v>
      </c>
      <c r="C19" s="156" t="str">
        <f>VLOOKUP(Tableau22[[#This Row],[Colonne1]],Tableau124[#All],3,FALSE)</f>
        <v>Montbéliard</v>
      </c>
      <c r="D19" s="156" t="str">
        <f>VLOOKUP(Tableau22[[#This Row],[Colonne1]],Tableau124[#All],4,FALSE)</f>
        <v>25200</v>
      </c>
      <c r="E19" s="156" t="str">
        <f>VLOOKUP(Tableau22[[#This Row],[Colonne1]],Tableau124[#All],5,FALSE)</f>
        <v>40 Fbg de Besançon</v>
      </c>
      <c r="F19" s="156" t="str">
        <f>VLOOKUP(Tableau22[[#This Row],[Colonne1]],Tableau124[#All],6,FALSE)</f>
        <v>CSAPA</v>
      </c>
      <c r="G19" s="156" t="str">
        <f>VLOOKUP(Tableau22[[#This Row],[Colonne1]],Tableau124[#All],7,FALSE)</f>
        <v>CSAPA Le Relais Equinoxe - Association d'Hygiène Sociale de Franche Comté</v>
      </c>
      <c r="H19" s="156" t="str">
        <f>VLOOKUP(Tableau22[[#This Row],[Colonne1]],Tableau124[#All],8,FALSE)</f>
        <v>Associatif</v>
      </c>
      <c r="I19" s="322" t="str">
        <f>VLOOKUP(Tableau22[[#This Row],[Colonne1]],Tableau124[#All],9,FALSE)</f>
        <v>pole-addictologie.nfc@ahs-fc.fr</v>
      </c>
      <c r="J19" s="636" t="str">
        <f>VLOOKUP(Tableau22[[#This Row],[Colonne1]],Tableau124[#All],10,FALSE)</f>
        <v>03-81-91-09-22/
03-81-99-37-04</v>
      </c>
      <c r="K19" s="318" t="str">
        <f>VLOOKUP(Tableau22[[#This Row],[Colonne1]],Tableau124[#All],11,FALSE)</f>
        <v>www.ahs-fc.fr</v>
      </c>
      <c r="L19" s="637" t="str">
        <f>VLOOKUP(Tableau22[[#This Row],[Colonne1]],Tableau124[#All],12,FALSE)</f>
        <v>lundi : 11h - 17h
du mardi au vendredi : 9h - 17h
Consultations Jeunes Consommateurs : Samedi 9h-12h sur RV et sur les horaires du Csapa</v>
      </c>
      <c r="M19" s="640" t="str">
        <f>VLOOKUP(Tableau22[[#This Row],[Colonne1]],Tableau124[#All],13,FALSE)</f>
        <v>- Réalisation de consultations avancées sur Pont de Roide, Isle sur le Doubs, Delle et Ornans ;
- intervention en milieu pénitentiaire à la maison d'arrêt de Belfort et de Montébliard ;
- mise à disposition de matériel de consommation à moindre risque ;
- proposition de test rapide d'orientation diagnostic (TROD) ; 
- dispositifs anti-overdose à disposition ; 
- présence d'une CJC.</v>
      </c>
    </row>
    <row r="20" spans="1:13" s="176" customFormat="1" ht="86.45" customHeight="1">
      <c r="A20" s="175"/>
      <c r="B20" s="187">
        <v>204</v>
      </c>
      <c r="C20" s="463" t="str">
        <f>VLOOKUP(Tableau22[[#This Row],[Colonne1]],Tableau124[#All],3,FALSE)</f>
        <v>Delle</v>
      </c>
      <c r="D20" s="463">
        <f>VLOOKUP(Tableau22[[#This Row],[Colonne1]],Tableau124[#All],4,FALSE)</f>
        <v>90100</v>
      </c>
      <c r="E20" s="463" t="str">
        <f>VLOOKUP(Tableau22[[#This Row],[Colonne1]],Tableau124[#All],5,FALSE)</f>
        <v>Comité Inter-Entreprise
2 Rue Eugène Claret</v>
      </c>
      <c r="F20" s="463" t="str">
        <f>VLOOKUP(Tableau22[[#This Row],[Colonne1]],Tableau124[#All],6,FALSE)</f>
        <v>CSAPA (consultations avancées)</v>
      </c>
      <c r="G20" s="463" t="str">
        <f>VLOOKUP(Tableau22[[#This Row],[Colonne1]],Tableau124[#All],7,FALSE)</f>
        <v>CSAPA Le Relais Equinoxe - Association d'Hygiène Sociale de Franche Comté - consultations avancées</v>
      </c>
      <c r="H20" s="463" t="str">
        <f>VLOOKUP(Tableau22[[#This Row],[Colonne1]],Tableau124[#All],8,FALSE)</f>
        <v>Associatif</v>
      </c>
      <c r="I20" s="465" t="str">
        <f>VLOOKUP(Tableau22[[#This Row],[Colonne1]],Tableau124[#All],9,FALSE)</f>
        <v xml:space="preserve">pole-addictologie.nfc@afs-fc.fr </v>
      </c>
      <c r="J20" s="238" t="str">
        <f>VLOOKUP(Tableau22[[#This Row],[Colonne1]],Tableau124[#All],10,FALSE)</f>
        <v>03-84-21-76-02</v>
      </c>
      <c r="K20" s="465" t="str">
        <f>VLOOKUP(Tableau22[[#This Row],[Colonne1]],Tableau124[#All],11,FALSE)</f>
        <v>www.ahs-fc.fr</v>
      </c>
      <c r="L20" s="463" t="str">
        <f>VLOOKUP(Tableau22[[#This Row],[Colonne1]],Tableau124[#All],12,FALSE)</f>
        <v>09H – 16H un jeudi sur deux</v>
      </c>
      <c r="M20" s="463" t="str">
        <f>VLOOKUP(Tableau22[[#This Row],[Colonne1]],Tableau124[#All],13,FALSE)</f>
        <v>Réalisation de consultations avancées</v>
      </c>
    </row>
    <row r="21" spans="1:13" s="176" customFormat="1" ht="86.45" customHeight="1">
      <c r="A21" s="175"/>
      <c r="B21" s="187">
        <v>200</v>
      </c>
      <c r="C21" s="111" t="str">
        <f>VLOOKUP(Tableau22[[#This Row],[Colonne1]],Tableau124[#All],3,FALSE)</f>
        <v>Belfort</v>
      </c>
      <c r="D21" s="111">
        <f>VLOOKUP(Tableau22[[#This Row],[Colonne1]],Tableau124[#All],4,FALSE)</f>
        <v>90000</v>
      </c>
      <c r="E21" s="111" t="str">
        <f>VLOOKUP(Tableau22[[#This Row],[Colonne1]],Tableau124[#All],5,FALSE)</f>
        <v>5 Rue Jacqueline Auriol</v>
      </c>
      <c r="F21" s="111" t="str">
        <f>VLOOKUP(Tableau22[[#This Row],[Colonne1]],Tableau124[#All],6,FALSE)</f>
        <v>Consultations Hospitalières externes en tabacologie (autre lieu d'intervention)</v>
      </c>
      <c r="G21" s="111" t="str">
        <f>VLOOKUP(Tableau22[[#This Row],[Colonne1]],Tableau124[#All],7,FALSE)</f>
        <v>HNFC consultations Tech'nom (Hôpital Nord Franche-Comté)</v>
      </c>
      <c r="H21" s="111" t="str">
        <f>VLOOKUP(Tableau22[[#This Row],[Colonne1]],Tableau124[#All],8,FALSE)</f>
        <v>Public</v>
      </c>
      <c r="I21" s="311" t="str">
        <f>VLOOKUP(Tableau22[[#This Row],[Colonne1]],Tableau124[#All],9,FALSE)</f>
        <v>ds.secretariat@hnfc.fr</v>
      </c>
      <c r="J21" s="239" t="str">
        <f>VLOOKUP(Tableau22[[#This Row],[Colonne1]],Tableau124[#All],10,FALSE)</f>
        <v>03 84 98 30 40</v>
      </c>
      <c r="K21" s="311" t="str">
        <f>VLOOKUP(Tableau22[[#This Row],[Colonne1]],Tableau124[#All],11,FALSE)</f>
        <v>www.hnfc.fr</v>
      </c>
      <c r="L21" s="129" t="str">
        <f>VLOOKUP(Tableau22[[#This Row],[Colonne1]],Tableau124[#All],12,FALSE)</f>
        <v>lundi 9h à 12h</v>
      </c>
      <c r="M21" s="129" t="str">
        <f>VLOOKUP(Tableau22[[#This Row],[Colonne1]],Tableau124[#All],13,FALSE)</f>
        <v>Intervention auprès de public majeurs ainsi qu'à l'Hôpital Nord Franche-Comté</v>
      </c>
    </row>
    <row r="22" spans="1:13" s="176" customFormat="1" ht="86.45" customHeight="1">
      <c r="A22" s="175"/>
      <c r="B22" s="188">
        <v>205</v>
      </c>
      <c r="C22" s="469" t="str">
        <f>VLOOKUP(Tableau22[[#This Row],[Colonne1]],Tableau124[#All],3,FALSE)</f>
        <v>Trévenans</v>
      </c>
      <c r="D22" s="469">
        <f>VLOOKUP(Tableau22[[#This Row],[Colonne1]],Tableau124[#All],4,FALSE)</f>
        <v>90400</v>
      </c>
      <c r="E22" s="469" t="str">
        <f>VLOOKUP(Tableau22[[#This Row],[Colonne1]],Tableau124[#All],5,FALSE)</f>
        <v>100 Rte de Moval</v>
      </c>
      <c r="F22" s="469" t="str">
        <f>VLOOKUP(Tableau22[[#This Row],[Colonne1]],Tableau124[#All],6,FALSE)</f>
        <v>Consultations Hospitalières externes d'addictologie (autre lieu d'intervention)</v>
      </c>
      <c r="G22" s="469" t="str">
        <f>VLOOKUP(Tableau22[[#This Row],[Colonne1]],Tableau124[#All],7,FALSE)</f>
        <v>HNFC consultations Tech'nom (Hôpital Nord Franche-Comté)</v>
      </c>
      <c r="H22" s="469" t="str">
        <f>VLOOKUP(Tableau22[[#This Row],[Colonne1]],Tableau124[#All],8,FALSE)</f>
        <v>Public</v>
      </c>
      <c r="I22" s="458" t="str">
        <f>VLOOKUP(Tableau22[[#This Row],[Colonne1]],Tableau124[#All],9,FALSE)</f>
        <v>ds.secretariat@hnfc.fr</v>
      </c>
      <c r="J22" s="242" t="str">
        <f>VLOOKUP(Tableau22[[#This Row],[Colonne1]],Tableau124[#All],10,FALSE)</f>
        <v>03 84 98 20 20</v>
      </c>
      <c r="K22" s="466" t="str">
        <f>VLOOKUP(Tableau22[[#This Row],[Colonne1]],Tableau124[#All],11,FALSE)</f>
        <v>www.hnfc.fr</v>
      </c>
      <c r="L22" s="469" t="str">
        <f>VLOOKUP(Tableau22[[#This Row],[Colonne1]],Tableau124[#All],12,FALSE)</f>
        <v>lundi 8H30 à 12H au Tech'nom
vendredi 13H30 à 18H sur le site de Trévenans</v>
      </c>
      <c r="M22" s="469" t="str">
        <f>VLOOKUP(Tableau22[[#This Row],[Colonne1]],Tableau124[#All],13,FALSE)</f>
        <v>Intervention auprès de public majeurs ainsi qu'à l'Hôpital Nord Franche-Comté</v>
      </c>
    </row>
    <row r="23" spans="1:13" s="176" customFormat="1" ht="86.45" customHeight="1">
      <c r="A23" s="175"/>
      <c r="B23" s="188">
        <v>69</v>
      </c>
      <c r="C23" s="230" t="str">
        <f>VLOOKUP(Tableau22[[#This Row],[Colonne1]],Tableau124[#All],3,FALSE)</f>
        <v>Montbéliard</v>
      </c>
      <c r="D23" s="230">
        <f>VLOOKUP(Tableau22[[#This Row],[Colonne1]],Tableau124[#All],4,FALSE)</f>
        <v>25200</v>
      </c>
      <c r="E23" s="230" t="str">
        <f>VLOOKUP(Tableau22[[#This Row],[Colonne1]],Tableau124[#All],5,FALSE)</f>
        <v>Maison d'arrêt de Montbéliard, 2 Rue du Bois Bourgeois</v>
      </c>
      <c r="F23" s="230" t="str">
        <f>VLOOKUP(Tableau22[[#This Row],[Colonne1]],Tableau124[#All],6,FALSE)</f>
        <v>Unité sanitaire en milieu pénitentiaire</v>
      </c>
      <c r="G23" s="231" t="str">
        <f>VLOOKUP(Tableau22[[#This Row],[Colonne1]],Tableau124[#All],7,FALSE)</f>
        <v>Hôpital Nord Franche-Comté</v>
      </c>
      <c r="H23" s="230" t="str">
        <f>VLOOKUP(Tableau22[[#This Row],[Colonne1]],Tableau124[#All],8,FALSE)</f>
        <v>Public</v>
      </c>
      <c r="I23" s="362" t="str">
        <f>VLOOKUP(Tableau22[[#This Row],[Colonne1]],Tableau124[#All],9,FALSE)</f>
        <v>ds.secretariat@hnfc.fr</v>
      </c>
      <c r="J23" s="411" t="str">
        <f>VLOOKUP(Tableau22[[#This Row],[Colonne1]],Tableau124[#All],10,FALSE)</f>
        <v xml:space="preserve">03.81.91.37.12 </v>
      </c>
      <c r="K23" s="360" t="str">
        <f>VLOOKUP(Tableau22[[#This Row],[Colonne1]],Tableau124[#All],11,FALSE)</f>
        <v>www.hnfc.fr</v>
      </c>
      <c r="L23" s="257" t="str">
        <f>VLOOKUP(Tableau22[[#This Row],[Colonne1]],Tableau124[#All],12,FALSE)</f>
        <v xml:space="preserve">  </v>
      </c>
      <c r="M23" s="470" t="str">
        <f>VLOOKUP(Tableau22[[#This Row],[Colonne1]],Tableau124[#All],13,FALSE)</f>
        <v>- unité de consultations et de soins ambulatoires (UCSA) ;
- intervention de niveau 1 (consultations, prestations et activités ambulatoires).</v>
      </c>
    </row>
    <row r="24" spans="1:13" s="176" customFormat="1" ht="86.45" customHeight="1">
      <c r="A24" s="175"/>
      <c r="C24" s="177"/>
      <c r="D24" s="177"/>
      <c r="E24" s="177"/>
      <c r="F24" s="177"/>
      <c r="G24" s="177"/>
      <c r="H24" s="177"/>
      <c r="I24" s="178"/>
      <c r="J24" s="179"/>
      <c r="K24" s="180"/>
      <c r="L24" s="177"/>
      <c r="M24" s="177"/>
    </row>
    <row r="25" spans="1:13" s="176" customFormat="1" ht="86.45" customHeight="1">
      <c r="A25" s="175"/>
      <c r="C25" s="177"/>
      <c r="D25" s="177"/>
      <c r="E25" s="177"/>
      <c r="F25" s="177"/>
      <c r="G25" s="177"/>
      <c r="H25" s="177"/>
      <c r="I25" s="178"/>
      <c r="J25" s="179"/>
      <c r="K25" s="180"/>
      <c r="L25" s="177"/>
      <c r="M25" s="177"/>
    </row>
    <row r="26" spans="1:13" s="176" customFormat="1" ht="86.45" customHeight="1">
      <c r="A26" s="175"/>
      <c r="C26" s="177"/>
      <c r="D26" s="177"/>
      <c r="E26" s="177"/>
      <c r="F26" s="177"/>
      <c r="G26" s="177"/>
      <c r="H26" s="177"/>
      <c r="I26" s="178"/>
      <c r="J26" s="183"/>
      <c r="K26" s="185"/>
      <c r="L26" s="184"/>
      <c r="M26" s="184"/>
    </row>
    <row r="27" spans="1:13" s="176" customFormat="1" ht="86.45" customHeight="1">
      <c r="A27" s="175"/>
      <c r="C27" s="177"/>
      <c r="D27" s="177"/>
      <c r="E27" s="177"/>
      <c r="F27" s="177"/>
      <c r="G27" s="177"/>
      <c r="H27" s="177"/>
      <c r="I27" s="178"/>
      <c r="J27" s="183"/>
      <c r="K27" s="185"/>
      <c r="L27" s="184"/>
      <c r="M27" s="184"/>
    </row>
    <row r="28" spans="1:13" s="176" customFormat="1" ht="86.45" customHeight="1">
      <c r="A28" s="175"/>
      <c r="C28" s="177"/>
      <c r="D28" s="177"/>
      <c r="E28" s="177"/>
      <c r="F28" s="177"/>
      <c r="G28" s="177"/>
      <c r="H28" s="177"/>
      <c r="I28" s="178"/>
      <c r="J28" s="183"/>
      <c r="K28" s="185"/>
      <c r="L28" s="184"/>
      <c r="M28" s="184"/>
    </row>
    <row r="29" spans="1:13" s="176" customFormat="1" ht="86.45" customHeight="1">
      <c r="A29" s="175"/>
      <c r="C29" s="177"/>
      <c r="D29" s="177"/>
      <c r="E29" s="177"/>
      <c r="F29" s="177"/>
      <c r="G29" s="177"/>
      <c r="H29" s="177"/>
      <c r="I29" s="178"/>
      <c r="J29" s="183"/>
      <c r="K29" s="180"/>
      <c r="L29" s="184"/>
      <c r="M29" s="184"/>
    </row>
    <row r="30" spans="1:13" s="176" customFormat="1" ht="86.45" customHeight="1">
      <c r="A30" s="175"/>
      <c r="C30" s="177"/>
      <c r="D30" s="177"/>
      <c r="E30" s="177"/>
      <c r="F30" s="177"/>
      <c r="G30" s="177"/>
      <c r="H30" s="177"/>
      <c r="I30" s="178"/>
      <c r="J30" s="179"/>
      <c r="K30" s="180"/>
      <c r="L30" s="177"/>
      <c r="M30" s="184"/>
    </row>
    <row r="31" spans="1:13" s="176" customFormat="1" ht="86.45" customHeight="1">
      <c r="A31" s="175"/>
      <c r="C31" s="177"/>
      <c r="D31" s="177"/>
      <c r="E31" s="177"/>
      <c r="F31" s="177"/>
      <c r="G31" s="177"/>
      <c r="H31" s="177"/>
      <c r="I31" s="178"/>
      <c r="J31" s="183"/>
      <c r="K31" s="180"/>
      <c r="L31" s="184"/>
      <c r="M31" s="184"/>
    </row>
    <row r="32" spans="1:13" s="176" customFormat="1" ht="86.45" customHeight="1">
      <c r="A32" s="175"/>
      <c r="C32" s="177"/>
      <c r="D32" s="177"/>
      <c r="E32" s="177"/>
      <c r="F32" s="177"/>
      <c r="G32" s="177"/>
      <c r="H32" s="177"/>
      <c r="I32" s="178"/>
      <c r="J32" s="183"/>
      <c r="K32" s="180"/>
      <c r="L32" s="184"/>
      <c r="M32" s="184"/>
    </row>
    <row r="33" spans="1:13" s="176" customFormat="1" ht="86.45" customHeight="1">
      <c r="A33" s="175"/>
      <c r="C33" s="177"/>
      <c r="D33" s="177"/>
      <c r="E33" s="177"/>
      <c r="F33" s="177"/>
      <c r="G33" s="177"/>
      <c r="H33" s="177"/>
      <c r="I33" s="178"/>
      <c r="J33" s="179"/>
      <c r="K33" s="181"/>
      <c r="L33" s="177"/>
      <c r="M33" s="184"/>
    </row>
    <row r="34" spans="1:13" s="176" customFormat="1" ht="86.45" customHeight="1">
      <c r="A34" s="175"/>
      <c r="C34" s="177"/>
      <c r="D34" s="177"/>
      <c r="E34" s="177"/>
      <c r="F34" s="177"/>
      <c r="G34" s="177"/>
      <c r="H34" s="177"/>
      <c r="I34" s="178"/>
      <c r="J34" s="179"/>
      <c r="K34" s="178"/>
      <c r="L34" s="177"/>
      <c r="M34" s="177"/>
    </row>
    <row r="35" spans="1:13" s="176" customFormat="1" ht="86.45" customHeight="1">
      <c r="A35" s="175"/>
      <c r="C35" s="177"/>
      <c r="D35" s="177"/>
      <c r="E35" s="177"/>
      <c r="F35" s="177"/>
      <c r="G35" s="177"/>
      <c r="H35" s="177"/>
      <c r="I35" s="178"/>
      <c r="J35" s="179"/>
      <c r="K35" s="178"/>
      <c r="L35" s="177"/>
      <c r="M35" s="177"/>
    </row>
    <row r="36" spans="1:13" s="176" customFormat="1" ht="86.45" customHeight="1">
      <c r="A36" s="175"/>
      <c r="C36" s="133"/>
      <c r="D36" s="133"/>
      <c r="E36" s="186"/>
      <c r="F36" s="186"/>
      <c r="G36" s="133"/>
      <c r="H36" s="133"/>
      <c r="I36" s="180"/>
      <c r="J36" s="133"/>
      <c r="K36" s="180"/>
      <c r="L36" s="181"/>
      <c r="M36" s="182"/>
    </row>
    <row r="37" spans="1:13" s="176" customFormat="1" ht="86.45" customHeight="1">
      <c r="A37" s="175"/>
      <c r="C37" s="133"/>
      <c r="D37" s="133"/>
      <c r="E37" s="186"/>
      <c r="F37" s="186"/>
      <c r="G37" s="133"/>
      <c r="H37" s="133"/>
      <c r="I37" s="180"/>
      <c r="J37" s="133"/>
      <c r="K37" s="180"/>
      <c r="L37" s="181"/>
      <c r="M37" s="182"/>
    </row>
    <row r="38" spans="1:13" s="176" customFormat="1" ht="86.45" customHeight="1">
      <c r="A38" s="175"/>
      <c r="C38" s="133"/>
      <c r="D38" s="133"/>
      <c r="E38" s="133"/>
      <c r="F38" s="133"/>
      <c r="G38" s="133"/>
      <c r="H38" s="133"/>
      <c r="I38" s="180"/>
      <c r="J38" s="133"/>
      <c r="K38" s="180"/>
      <c r="L38" s="181"/>
      <c r="M38" s="182"/>
    </row>
    <row r="39" spans="1:13" s="176" customFormat="1" ht="86.45" customHeight="1">
      <c r="A39" s="175"/>
      <c r="C39" s="133"/>
      <c r="D39" s="133"/>
      <c r="E39" s="133"/>
      <c r="F39" s="133"/>
      <c r="G39" s="133"/>
      <c r="H39" s="133"/>
      <c r="I39" s="180"/>
      <c r="J39" s="133"/>
      <c r="K39" s="180"/>
      <c r="L39" s="181"/>
      <c r="M39" s="182"/>
    </row>
    <row r="40" spans="1:13" s="176" customFormat="1" ht="86.45" customHeight="1">
      <c r="A40" s="175"/>
      <c r="C40" s="133"/>
      <c r="D40" s="133"/>
      <c r="E40" s="133"/>
      <c r="F40" s="133"/>
      <c r="G40" s="133"/>
      <c r="H40" s="133"/>
      <c r="I40" s="180"/>
      <c r="J40" s="133"/>
      <c r="K40" s="180"/>
      <c r="L40" s="181"/>
      <c r="M40" s="182"/>
    </row>
    <row r="41" spans="1:13" s="176" customFormat="1" ht="86.45" customHeight="1">
      <c r="A41" s="175"/>
      <c r="C41" s="133"/>
      <c r="D41" s="133"/>
      <c r="E41" s="133"/>
      <c r="F41" s="186"/>
      <c r="G41" s="133"/>
      <c r="H41" s="133"/>
      <c r="I41" s="180"/>
      <c r="J41" s="133"/>
      <c r="K41" s="181"/>
      <c r="L41" s="181"/>
      <c r="M41" s="182"/>
    </row>
    <row r="42" spans="1:13" s="176" customFormat="1" ht="86.45" customHeight="1">
      <c r="A42" s="175"/>
      <c r="C42" s="133"/>
      <c r="D42" s="133"/>
      <c r="E42" s="133"/>
      <c r="F42" s="186"/>
      <c r="G42" s="133"/>
      <c r="H42" s="133"/>
      <c r="I42" s="180"/>
      <c r="J42" s="133"/>
      <c r="K42" s="180"/>
      <c r="L42" s="181"/>
      <c r="M42" s="182"/>
    </row>
    <row r="43" spans="1:13" s="176" customFormat="1" ht="86.45" customHeight="1">
      <c r="A43" s="175"/>
      <c r="C43" s="133"/>
      <c r="D43" s="133"/>
      <c r="E43" s="133"/>
      <c r="F43" s="186"/>
      <c r="G43" s="133"/>
      <c r="H43" s="133"/>
      <c r="I43" s="180"/>
      <c r="J43" s="133"/>
      <c r="K43" s="180"/>
      <c r="L43" s="181"/>
      <c r="M43" s="182"/>
    </row>
    <row r="44" spans="1:13" s="176" customFormat="1" ht="86.45" customHeight="1">
      <c r="A44" s="175"/>
      <c r="C44" s="133"/>
      <c r="D44" s="133"/>
      <c r="E44" s="133"/>
      <c r="F44" s="186"/>
      <c r="G44" s="133"/>
      <c r="H44" s="133"/>
      <c r="I44" s="180"/>
      <c r="J44" s="133"/>
      <c r="K44" s="181"/>
      <c r="L44" s="133"/>
      <c r="M44" s="182"/>
    </row>
    <row r="45" spans="1:13" s="176" customFormat="1" ht="86.45" customHeight="1">
      <c r="A45" s="175"/>
      <c r="C45" s="133"/>
      <c r="D45" s="133"/>
      <c r="E45" s="133"/>
      <c r="F45" s="186"/>
      <c r="G45" s="133"/>
      <c r="H45" s="133"/>
      <c r="I45" s="180"/>
      <c r="J45" s="133"/>
      <c r="K45" s="180"/>
      <c r="L45" s="133"/>
      <c r="M45" s="182"/>
    </row>
    <row r="46" spans="1:13" s="176" customFormat="1">
      <c r="A46" s="175"/>
      <c r="C46" s="133"/>
      <c r="D46" s="133"/>
      <c r="E46" s="133"/>
      <c r="F46" s="133"/>
      <c r="G46" s="186"/>
      <c r="H46" s="133"/>
      <c r="I46" s="180"/>
      <c r="J46" s="133"/>
      <c r="K46" s="180"/>
      <c r="L46" s="181"/>
      <c r="M46" s="182"/>
    </row>
  </sheetData>
  <mergeCells count="1">
    <mergeCell ref="C3:N3"/>
  </mergeCells>
  <conditionalFormatting sqref="E41:E43">
    <cfRule type="duplicateValues" dxfId="145" priority="1"/>
  </conditionalFormatting>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9" tint="-0.499984740745262"/>
  </sheetPr>
  <dimension ref="A1:T61"/>
  <sheetViews>
    <sheetView workbookViewId="0"/>
  </sheetViews>
  <sheetFormatPr baseColWidth="10" defaultColWidth="10.5703125" defaultRowHeight="15"/>
  <cols>
    <col min="1" max="1" width="16.5703125" style="8" customWidth="1"/>
    <col min="2" max="2" width="5" style="1" customWidth="1"/>
    <col min="3" max="3" width="20.5703125" style="1" customWidth="1"/>
    <col min="4" max="4" width="14.85546875" style="1" customWidth="1"/>
    <col min="5" max="5" width="11.140625" style="1" customWidth="1"/>
    <col min="6" max="6" width="20.85546875" style="1" customWidth="1"/>
    <col min="7" max="7" width="16.42578125" style="1" customWidth="1"/>
    <col min="8" max="8" width="19.85546875" style="1" customWidth="1"/>
    <col min="9" max="9" width="10.5703125" style="1"/>
    <col min="10" max="10" width="12.42578125" style="1" customWidth="1"/>
    <col min="11" max="11" width="26.42578125" style="1" customWidth="1"/>
    <col min="12" max="12" width="15.140625" style="1" customWidth="1"/>
    <col min="13" max="13" width="25.140625" style="1" customWidth="1"/>
    <col min="17" max="17" width="14.5703125" style="1" customWidth="1"/>
    <col min="19" max="19" width="17" style="1" customWidth="1"/>
    <col min="20" max="20" width="23.140625" style="1" customWidth="1"/>
    <col min="21" max="16384" width="10.5703125" style="1"/>
  </cols>
  <sheetData>
    <row r="1" spans="1:18" ht="11.1" customHeight="1">
      <c r="N1" s="1"/>
      <c r="O1" s="1"/>
      <c r="P1" s="1"/>
      <c r="R1" s="1"/>
    </row>
    <row r="2" spans="1:18" ht="20.100000000000001" customHeight="1">
      <c r="C2" s="54" t="s">
        <v>777</v>
      </c>
      <c r="D2" s="54"/>
      <c r="E2" s="54"/>
      <c r="F2" s="54"/>
      <c r="G2" s="54"/>
      <c r="H2" s="54"/>
      <c r="I2" s="54"/>
      <c r="J2" s="54"/>
      <c r="K2" s="54"/>
      <c r="L2" s="54"/>
      <c r="M2" s="54"/>
      <c r="N2" s="54"/>
      <c r="O2" s="1"/>
      <c r="P2" s="1"/>
      <c r="R2" s="1"/>
    </row>
    <row r="3" spans="1:18">
      <c r="N3" s="1"/>
      <c r="O3" s="1"/>
      <c r="P3" s="1"/>
      <c r="R3" s="1"/>
    </row>
    <row r="4" spans="1:18" ht="60">
      <c r="A4" s="9"/>
      <c r="C4" s="24" t="s">
        <v>17</v>
      </c>
      <c r="D4" s="23" t="s">
        <v>778</v>
      </c>
      <c r="E4" s="23" t="s">
        <v>19</v>
      </c>
      <c r="F4" s="23" t="s">
        <v>20</v>
      </c>
      <c r="G4" s="22" t="s">
        <v>21</v>
      </c>
      <c r="H4" s="22" t="s">
        <v>22</v>
      </c>
      <c r="I4" s="23" t="s">
        <v>779</v>
      </c>
      <c r="J4" s="24" t="s">
        <v>780</v>
      </c>
      <c r="K4" s="23" t="s">
        <v>24</v>
      </c>
      <c r="L4" s="23" t="s">
        <v>781</v>
      </c>
      <c r="M4" s="23" t="s">
        <v>782</v>
      </c>
      <c r="N4" s="23" t="s">
        <v>224</v>
      </c>
      <c r="O4" s="23" t="s">
        <v>783</v>
      </c>
      <c r="P4" s="23" t="s">
        <v>784</v>
      </c>
      <c r="Q4" s="23" t="s">
        <v>28</v>
      </c>
      <c r="R4" s="1"/>
    </row>
    <row r="5" spans="1:18" ht="135">
      <c r="C5" s="27" t="s">
        <v>57</v>
      </c>
      <c r="D5" s="27" t="s">
        <v>785</v>
      </c>
      <c r="E5" s="27" t="s">
        <v>147</v>
      </c>
      <c r="F5" s="27" t="s">
        <v>786</v>
      </c>
      <c r="G5" s="26" t="s">
        <v>9</v>
      </c>
      <c r="H5" s="27" t="s">
        <v>651</v>
      </c>
      <c r="I5" s="27" t="s">
        <v>787</v>
      </c>
      <c r="J5" s="27" t="s">
        <v>224</v>
      </c>
      <c r="K5" s="33" t="s">
        <v>392</v>
      </c>
      <c r="L5" s="27" t="s">
        <v>706</v>
      </c>
      <c r="M5" s="33" t="s">
        <v>394</v>
      </c>
      <c r="N5" s="27" t="s">
        <v>788</v>
      </c>
      <c r="O5" s="27" t="s">
        <v>789</v>
      </c>
      <c r="P5" s="27" t="s">
        <v>790</v>
      </c>
      <c r="Q5" s="55" t="s">
        <v>707</v>
      </c>
      <c r="R5" s="1"/>
    </row>
    <row r="6" spans="1:18" ht="165">
      <c r="C6" s="27" t="s">
        <v>83</v>
      </c>
      <c r="D6" s="27" t="s">
        <v>791</v>
      </c>
      <c r="E6" s="27" t="s">
        <v>195</v>
      </c>
      <c r="F6" s="27" t="s">
        <v>792</v>
      </c>
      <c r="G6" s="26" t="s">
        <v>9</v>
      </c>
      <c r="H6" s="27" t="s">
        <v>305</v>
      </c>
      <c r="I6" s="27" t="s">
        <v>787</v>
      </c>
      <c r="J6" s="27" t="s">
        <v>224</v>
      </c>
      <c r="K6" s="33" t="s">
        <v>306</v>
      </c>
      <c r="L6" s="27" t="s">
        <v>675</v>
      </c>
      <c r="M6" s="33" t="s">
        <v>308</v>
      </c>
      <c r="N6" s="27" t="s">
        <v>793</v>
      </c>
      <c r="O6" s="27" t="s">
        <v>789</v>
      </c>
      <c r="P6" s="27" t="s">
        <v>794</v>
      </c>
      <c r="Q6" s="56" t="s">
        <v>676</v>
      </c>
      <c r="R6" s="1"/>
    </row>
    <row r="7" spans="1:18" ht="135">
      <c r="C7" s="27" t="s">
        <v>29</v>
      </c>
      <c r="D7" s="27" t="s">
        <v>30</v>
      </c>
      <c r="E7" s="27" t="s">
        <v>331</v>
      </c>
      <c r="F7" s="27" t="s">
        <v>795</v>
      </c>
      <c r="G7" s="26" t="s">
        <v>9</v>
      </c>
      <c r="H7" s="27" t="s">
        <v>333</v>
      </c>
      <c r="I7" s="27" t="s">
        <v>787</v>
      </c>
      <c r="J7" s="27" t="s">
        <v>224</v>
      </c>
      <c r="K7" s="33" t="s">
        <v>796</v>
      </c>
      <c r="L7" s="27" t="s">
        <v>335</v>
      </c>
      <c r="M7" s="34"/>
      <c r="N7" s="27" t="s">
        <v>788</v>
      </c>
      <c r="O7" s="27" t="s">
        <v>789</v>
      </c>
      <c r="P7" s="27" t="s">
        <v>797</v>
      </c>
      <c r="Q7" s="55" t="s">
        <v>686</v>
      </c>
      <c r="R7" s="1"/>
    </row>
    <row r="8" spans="1:18" ht="150">
      <c r="C8" s="27" t="s">
        <v>29</v>
      </c>
      <c r="D8" s="27" t="s">
        <v>798</v>
      </c>
      <c r="E8" s="27" t="s">
        <v>310</v>
      </c>
      <c r="F8" s="27" t="s">
        <v>799</v>
      </c>
      <c r="G8" s="26" t="s">
        <v>9</v>
      </c>
      <c r="H8" s="27" t="s">
        <v>800</v>
      </c>
      <c r="I8" s="27" t="s">
        <v>787</v>
      </c>
      <c r="J8" s="27" t="s">
        <v>224</v>
      </c>
      <c r="K8" s="33" t="s">
        <v>801</v>
      </c>
      <c r="L8" s="27" t="s">
        <v>802</v>
      </c>
      <c r="M8" s="34"/>
      <c r="N8" s="27" t="s">
        <v>788</v>
      </c>
      <c r="O8" s="27" t="s">
        <v>789</v>
      </c>
      <c r="P8" s="27" t="s">
        <v>803</v>
      </c>
      <c r="Q8" s="55" t="s">
        <v>804</v>
      </c>
      <c r="R8" s="1"/>
    </row>
    <row r="9" spans="1:18" ht="300">
      <c r="C9" s="27" t="s">
        <v>49</v>
      </c>
      <c r="D9" s="27" t="s">
        <v>132</v>
      </c>
      <c r="E9" s="27" t="s">
        <v>358</v>
      </c>
      <c r="F9" s="27" t="s">
        <v>805</v>
      </c>
      <c r="G9" s="26" t="s">
        <v>9</v>
      </c>
      <c r="H9" s="27" t="s">
        <v>360</v>
      </c>
      <c r="I9" s="27" t="s">
        <v>787</v>
      </c>
      <c r="J9" s="27" t="s">
        <v>224</v>
      </c>
      <c r="K9" s="33" t="s">
        <v>361</v>
      </c>
      <c r="L9" s="27" t="s">
        <v>362</v>
      </c>
      <c r="M9" s="33" t="s">
        <v>363</v>
      </c>
      <c r="N9" s="27" t="s">
        <v>788</v>
      </c>
      <c r="O9" s="27" t="s">
        <v>806</v>
      </c>
      <c r="P9" s="27" t="s">
        <v>807</v>
      </c>
      <c r="Q9" s="56" t="s">
        <v>709</v>
      </c>
      <c r="R9" s="1"/>
    </row>
    <row r="10" spans="1:18" ht="135">
      <c r="C10" s="27" t="s">
        <v>29</v>
      </c>
      <c r="D10" s="27" t="s">
        <v>199</v>
      </c>
      <c r="E10" s="27" t="s">
        <v>200</v>
      </c>
      <c r="F10" s="27" t="s">
        <v>808</v>
      </c>
      <c r="G10" s="26" t="s">
        <v>9</v>
      </c>
      <c r="H10" s="27" t="s">
        <v>323</v>
      </c>
      <c r="I10" s="27" t="s">
        <v>787</v>
      </c>
      <c r="J10" s="27" t="s">
        <v>224</v>
      </c>
      <c r="K10" s="33" t="s">
        <v>324</v>
      </c>
      <c r="L10" s="27" t="s">
        <v>610</v>
      </c>
      <c r="M10" s="33" t="s">
        <v>325</v>
      </c>
      <c r="N10" s="27" t="s">
        <v>788</v>
      </c>
      <c r="O10" s="27" t="s">
        <v>789</v>
      </c>
      <c r="P10" s="27" t="s">
        <v>809</v>
      </c>
      <c r="Q10" s="55" t="s">
        <v>679</v>
      </c>
      <c r="R10" s="1"/>
    </row>
    <row r="11" spans="1:18" ht="75">
      <c r="C11" s="27" t="s">
        <v>83</v>
      </c>
      <c r="D11" s="27" t="s">
        <v>221</v>
      </c>
      <c r="E11" s="27" t="s">
        <v>222</v>
      </c>
      <c r="F11" s="27" t="s">
        <v>810</v>
      </c>
      <c r="G11" s="26" t="s">
        <v>9</v>
      </c>
      <c r="H11" s="27" t="s">
        <v>327</v>
      </c>
      <c r="I11" s="27" t="s">
        <v>787</v>
      </c>
      <c r="J11" s="27" t="s">
        <v>224</v>
      </c>
      <c r="K11" s="33" t="s">
        <v>328</v>
      </c>
      <c r="L11" s="27" t="s">
        <v>682</v>
      </c>
      <c r="M11" s="33" t="s">
        <v>330</v>
      </c>
      <c r="N11" s="27" t="s">
        <v>788</v>
      </c>
      <c r="O11" s="27" t="s">
        <v>811</v>
      </c>
      <c r="P11" s="27" t="s">
        <v>811</v>
      </c>
      <c r="Q11" s="56" t="s">
        <v>683</v>
      </c>
      <c r="R11" s="1"/>
    </row>
    <row r="12" spans="1:18" ht="105">
      <c r="C12" s="27" t="s">
        <v>812</v>
      </c>
      <c r="D12" s="27" t="s">
        <v>630</v>
      </c>
      <c r="E12" s="27" t="s">
        <v>631</v>
      </c>
      <c r="F12" s="27" t="s">
        <v>813</v>
      </c>
      <c r="G12" s="26" t="s">
        <v>9</v>
      </c>
      <c r="H12" s="27" t="s">
        <v>632</v>
      </c>
      <c r="I12" s="27" t="s">
        <v>814</v>
      </c>
      <c r="J12" s="27" t="s">
        <v>224</v>
      </c>
      <c r="K12" s="33" t="s">
        <v>633</v>
      </c>
      <c r="L12" s="27" t="s">
        <v>696</v>
      </c>
      <c r="M12" s="33" t="s">
        <v>634</v>
      </c>
      <c r="N12" s="27" t="s">
        <v>788</v>
      </c>
      <c r="O12" s="27" t="s">
        <v>789</v>
      </c>
      <c r="P12" s="27" t="s">
        <v>815</v>
      </c>
      <c r="Q12" s="55" t="s">
        <v>698</v>
      </c>
      <c r="R12" s="1"/>
    </row>
    <row r="13" spans="1:18" ht="105">
      <c r="C13" s="27" t="s">
        <v>49</v>
      </c>
      <c r="D13" s="27" t="s">
        <v>816</v>
      </c>
      <c r="E13" s="27" t="s">
        <v>612</v>
      </c>
      <c r="F13" s="27" t="s">
        <v>817</v>
      </c>
      <c r="G13" s="26" t="s">
        <v>9</v>
      </c>
      <c r="H13" s="27" t="s">
        <v>613</v>
      </c>
      <c r="I13" s="27" t="s">
        <v>787</v>
      </c>
      <c r="J13" s="27" t="s">
        <v>224</v>
      </c>
      <c r="K13" s="33" t="s">
        <v>367</v>
      </c>
      <c r="L13" s="27" t="s">
        <v>684</v>
      </c>
      <c r="M13" s="33" t="s">
        <v>368</v>
      </c>
      <c r="N13" s="27" t="s">
        <v>788</v>
      </c>
      <c r="O13" s="27" t="s">
        <v>789</v>
      </c>
      <c r="P13" s="27" t="s">
        <v>818</v>
      </c>
      <c r="Q13" s="55" t="s">
        <v>685</v>
      </c>
      <c r="R13" s="1"/>
    </row>
    <row r="14" spans="1:18" ht="210">
      <c r="C14" s="27" t="s">
        <v>69</v>
      </c>
      <c r="D14" s="27" t="s">
        <v>70</v>
      </c>
      <c r="E14" s="27" t="s">
        <v>316</v>
      </c>
      <c r="F14" s="27" t="s">
        <v>819</v>
      </c>
      <c r="G14" s="26" t="s">
        <v>9</v>
      </c>
      <c r="H14" s="27" t="s">
        <v>318</v>
      </c>
      <c r="I14" s="27" t="s">
        <v>787</v>
      </c>
      <c r="J14" s="27" t="s">
        <v>224</v>
      </c>
      <c r="K14" s="33" t="s">
        <v>319</v>
      </c>
      <c r="L14" s="27" t="s">
        <v>320</v>
      </c>
      <c r="M14" s="33" t="s">
        <v>321</v>
      </c>
      <c r="N14" s="27" t="s">
        <v>788</v>
      </c>
      <c r="O14" s="27" t="s">
        <v>820</v>
      </c>
      <c r="P14" s="27" t="s">
        <v>821</v>
      </c>
      <c r="Q14" s="56" t="s">
        <v>677</v>
      </c>
      <c r="R14" s="1"/>
    </row>
    <row r="15" spans="1:18" ht="180">
      <c r="C15" s="27" t="s">
        <v>76</v>
      </c>
      <c r="D15" s="27" t="s">
        <v>272</v>
      </c>
      <c r="E15" s="27">
        <v>58300</v>
      </c>
      <c r="F15" s="27" t="s">
        <v>822</v>
      </c>
      <c r="G15" s="26" t="s">
        <v>9</v>
      </c>
      <c r="H15" s="27" t="s">
        <v>275</v>
      </c>
      <c r="I15" s="27" t="s">
        <v>787</v>
      </c>
      <c r="J15" s="27" t="s">
        <v>224</v>
      </c>
      <c r="K15" s="33" t="s">
        <v>276</v>
      </c>
      <c r="L15" s="27" t="s">
        <v>277</v>
      </c>
      <c r="M15" s="33" t="s">
        <v>278</v>
      </c>
      <c r="N15" s="27" t="s">
        <v>788</v>
      </c>
      <c r="O15" s="27" t="s">
        <v>823</v>
      </c>
      <c r="P15" s="27" t="s">
        <v>824</v>
      </c>
      <c r="Q15" s="56" t="s">
        <v>668</v>
      </c>
      <c r="R15" s="1"/>
    </row>
    <row r="16" spans="1:18" ht="105">
      <c r="C16" s="27" t="s">
        <v>49</v>
      </c>
      <c r="D16" s="27" t="s">
        <v>816</v>
      </c>
      <c r="E16" s="27" t="s">
        <v>612</v>
      </c>
      <c r="F16" s="27" t="s">
        <v>825</v>
      </c>
      <c r="G16" s="26" t="s">
        <v>9</v>
      </c>
      <c r="H16" s="27" t="s">
        <v>826</v>
      </c>
      <c r="I16" s="27" t="s">
        <v>787</v>
      </c>
      <c r="J16" s="27" t="s">
        <v>224</v>
      </c>
      <c r="K16" s="33" t="s">
        <v>367</v>
      </c>
      <c r="L16" s="27" t="s">
        <v>684</v>
      </c>
      <c r="M16" s="33" t="s">
        <v>368</v>
      </c>
      <c r="N16" s="27" t="s">
        <v>788</v>
      </c>
      <c r="O16" s="27" t="s">
        <v>789</v>
      </c>
      <c r="P16" s="27" t="s">
        <v>827</v>
      </c>
      <c r="Q16" s="55" t="s">
        <v>828</v>
      </c>
      <c r="R16" s="1"/>
    </row>
    <row r="17" spans="3:20" ht="180">
      <c r="C17" s="27" t="s">
        <v>829</v>
      </c>
      <c r="D17" s="27" t="s">
        <v>186</v>
      </c>
      <c r="E17" s="27" t="s">
        <v>187</v>
      </c>
      <c r="F17" s="27" t="s">
        <v>689</v>
      </c>
      <c r="G17" s="26" t="s">
        <v>9</v>
      </c>
      <c r="H17" s="27" t="s">
        <v>690</v>
      </c>
      <c r="I17" s="27" t="s">
        <v>814</v>
      </c>
      <c r="J17" s="27" t="s">
        <v>224</v>
      </c>
      <c r="K17" s="33" t="s">
        <v>691</v>
      </c>
      <c r="L17" s="27" t="s">
        <v>692</v>
      </c>
      <c r="M17" s="33" t="s">
        <v>693</v>
      </c>
      <c r="N17" s="27" t="s">
        <v>788</v>
      </c>
      <c r="O17" s="27" t="s">
        <v>789</v>
      </c>
      <c r="P17" s="27" t="s">
        <v>830</v>
      </c>
      <c r="Q17" s="55" t="s">
        <v>831</v>
      </c>
      <c r="R17" s="1"/>
    </row>
    <row r="18" spans="3:20" ht="135">
      <c r="C18" s="27" t="s">
        <v>29</v>
      </c>
      <c r="D18" s="27" t="s">
        <v>798</v>
      </c>
      <c r="E18" s="27" t="s">
        <v>310</v>
      </c>
      <c r="F18" s="27" t="s">
        <v>832</v>
      </c>
      <c r="G18" s="26" t="s">
        <v>9</v>
      </c>
      <c r="H18" s="27" t="s">
        <v>833</v>
      </c>
      <c r="I18" s="27" t="s">
        <v>787</v>
      </c>
      <c r="J18" s="27" t="s">
        <v>224</v>
      </c>
      <c r="K18" s="33" t="s">
        <v>313</v>
      </c>
      <c r="L18" s="27" t="s">
        <v>314</v>
      </c>
      <c r="M18" s="34"/>
      <c r="N18" s="27" t="s">
        <v>788</v>
      </c>
      <c r="O18" s="27" t="s">
        <v>789</v>
      </c>
      <c r="P18" s="27" t="s">
        <v>834</v>
      </c>
      <c r="Q18" s="55" t="s">
        <v>688</v>
      </c>
      <c r="R18" s="1"/>
    </row>
    <row r="19" spans="3:20" ht="90">
      <c r="C19" s="27" t="s">
        <v>49</v>
      </c>
      <c r="D19" s="27" t="s">
        <v>816</v>
      </c>
      <c r="E19" s="27" t="s">
        <v>612</v>
      </c>
      <c r="F19" s="27" t="s">
        <v>835</v>
      </c>
      <c r="G19" s="26" t="s">
        <v>9</v>
      </c>
      <c r="H19" s="27" t="s">
        <v>836</v>
      </c>
      <c r="I19" s="27" t="s">
        <v>787</v>
      </c>
      <c r="J19" s="27" t="s">
        <v>224</v>
      </c>
      <c r="K19" s="33" t="s">
        <v>367</v>
      </c>
      <c r="L19" s="27" t="s">
        <v>684</v>
      </c>
      <c r="M19" s="33" t="s">
        <v>368</v>
      </c>
      <c r="N19" s="27" t="s">
        <v>788</v>
      </c>
      <c r="O19" s="27" t="s">
        <v>789</v>
      </c>
      <c r="P19" s="27" t="s">
        <v>837</v>
      </c>
      <c r="Q19" s="55" t="s">
        <v>838</v>
      </c>
      <c r="R19" s="1"/>
    </row>
    <row r="20" spans="3:20" ht="225">
      <c r="C20" s="27" t="s">
        <v>69</v>
      </c>
      <c r="D20" s="27" t="s">
        <v>292</v>
      </c>
      <c r="E20" s="27" t="s">
        <v>293</v>
      </c>
      <c r="F20" s="27" t="s">
        <v>839</v>
      </c>
      <c r="G20" s="26" t="s">
        <v>9</v>
      </c>
      <c r="H20" s="27" t="s">
        <v>599</v>
      </c>
      <c r="I20" s="27" t="s">
        <v>787</v>
      </c>
      <c r="J20" s="27" t="s">
        <v>224</v>
      </c>
      <c r="K20" s="33" t="s">
        <v>296</v>
      </c>
      <c r="L20" s="27" t="s">
        <v>840</v>
      </c>
      <c r="M20" s="34"/>
      <c r="N20" s="27" t="s">
        <v>793</v>
      </c>
      <c r="O20" s="27" t="s">
        <v>820</v>
      </c>
      <c r="P20" s="27" t="s">
        <v>841</v>
      </c>
      <c r="Q20" s="56" t="s">
        <v>672</v>
      </c>
      <c r="R20" s="1"/>
    </row>
    <row r="21" spans="3:20" ht="150">
      <c r="C21" s="27" t="s">
        <v>69</v>
      </c>
      <c r="D21" s="27" t="s">
        <v>160</v>
      </c>
      <c r="E21" s="27" t="s">
        <v>161</v>
      </c>
      <c r="F21" s="27" t="s">
        <v>842</v>
      </c>
      <c r="G21" s="26" t="s">
        <v>9</v>
      </c>
      <c r="H21" s="27" t="s">
        <v>287</v>
      </c>
      <c r="I21" s="27" t="s">
        <v>787</v>
      </c>
      <c r="J21" s="27" t="s">
        <v>224</v>
      </c>
      <c r="K21" s="33" t="s">
        <v>288</v>
      </c>
      <c r="L21" s="27" t="s">
        <v>289</v>
      </c>
      <c r="M21" s="33" t="s">
        <v>290</v>
      </c>
      <c r="N21" s="27" t="s">
        <v>793</v>
      </c>
      <c r="O21" s="27" t="s">
        <v>789</v>
      </c>
      <c r="P21" s="27" t="s">
        <v>843</v>
      </c>
      <c r="Q21" s="56" t="s">
        <v>670</v>
      </c>
      <c r="R21" s="1"/>
    </row>
    <row r="22" spans="3:20" ht="165">
      <c r="C22" s="27" t="s">
        <v>844</v>
      </c>
      <c r="D22" s="27" t="s">
        <v>186</v>
      </c>
      <c r="E22" s="27" t="s">
        <v>187</v>
      </c>
      <c r="F22" s="27" t="s">
        <v>845</v>
      </c>
      <c r="G22" s="26" t="s">
        <v>9</v>
      </c>
      <c r="H22" s="27" t="s">
        <v>344</v>
      </c>
      <c r="I22" s="27" t="s">
        <v>787</v>
      </c>
      <c r="J22" s="27" t="s">
        <v>224</v>
      </c>
      <c r="K22" s="33" t="s">
        <v>345</v>
      </c>
      <c r="L22" s="27" t="s">
        <v>701</v>
      </c>
      <c r="M22" s="33" t="s">
        <v>347</v>
      </c>
      <c r="N22" s="27" t="s">
        <v>788</v>
      </c>
      <c r="O22" s="27" t="s">
        <v>789</v>
      </c>
      <c r="P22" s="27" t="s">
        <v>846</v>
      </c>
      <c r="Q22" s="55" t="s">
        <v>702</v>
      </c>
      <c r="R22" s="1"/>
    </row>
    <row r="23" spans="3:20" ht="135">
      <c r="C23" s="27" t="s">
        <v>83</v>
      </c>
      <c r="D23" s="27" t="s">
        <v>221</v>
      </c>
      <c r="E23" s="27" t="s">
        <v>222</v>
      </c>
      <c r="F23" s="27" t="s">
        <v>847</v>
      </c>
      <c r="G23" s="26" t="s">
        <v>9</v>
      </c>
      <c r="H23" s="27" t="s">
        <v>626</v>
      </c>
      <c r="I23" s="27" t="s">
        <v>787</v>
      </c>
      <c r="J23" s="27" t="s">
        <v>224</v>
      </c>
      <c r="K23" s="33" t="s">
        <v>627</v>
      </c>
      <c r="L23" s="27" t="s">
        <v>696</v>
      </c>
      <c r="M23" s="34"/>
      <c r="N23" s="27" t="s">
        <v>788</v>
      </c>
      <c r="O23" s="27" t="s">
        <v>789</v>
      </c>
      <c r="P23" s="27" t="s">
        <v>848</v>
      </c>
      <c r="Q23" s="55" t="s">
        <v>697</v>
      </c>
      <c r="R23" s="1"/>
    </row>
    <row r="24" spans="3:20" ht="120">
      <c r="C24" s="27" t="s">
        <v>76</v>
      </c>
      <c r="D24" s="27" t="s">
        <v>169</v>
      </c>
      <c r="E24" s="27" t="s">
        <v>78</v>
      </c>
      <c r="F24" s="27" t="s">
        <v>849</v>
      </c>
      <c r="G24" s="26" t="s">
        <v>9</v>
      </c>
      <c r="H24" s="27" t="s">
        <v>300</v>
      </c>
      <c r="I24" s="27" t="s">
        <v>787</v>
      </c>
      <c r="J24" s="27" t="s">
        <v>224</v>
      </c>
      <c r="K24" s="33" t="s">
        <v>301</v>
      </c>
      <c r="L24" s="27" t="s">
        <v>302</v>
      </c>
      <c r="M24" s="33" t="s">
        <v>303</v>
      </c>
      <c r="N24" s="27" t="s">
        <v>788</v>
      </c>
      <c r="O24" s="27" t="s">
        <v>850</v>
      </c>
      <c r="P24" s="27"/>
      <c r="Q24" s="56" t="s">
        <v>673</v>
      </c>
      <c r="R24" s="1"/>
    </row>
    <row r="25" spans="3:20" ht="135">
      <c r="C25" s="27" t="s">
        <v>851</v>
      </c>
      <c r="D25" s="27" t="s">
        <v>586</v>
      </c>
      <c r="E25" s="27" t="s">
        <v>587</v>
      </c>
      <c r="F25" s="27" t="s">
        <v>664</v>
      </c>
      <c r="G25" s="26" t="s">
        <v>9</v>
      </c>
      <c r="H25" s="27" t="s">
        <v>256</v>
      </c>
      <c r="I25" s="27" t="s">
        <v>814</v>
      </c>
      <c r="J25" s="27" t="s">
        <v>34</v>
      </c>
      <c r="K25" s="33" t="s">
        <v>257</v>
      </c>
      <c r="L25" s="27" t="s">
        <v>665</v>
      </c>
      <c r="M25" s="33" t="s">
        <v>259</v>
      </c>
      <c r="N25" s="27" t="s">
        <v>788</v>
      </c>
      <c r="O25" s="27" t="s">
        <v>789</v>
      </c>
      <c r="P25" s="27" t="s">
        <v>852</v>
      </c>
      <c r="Q25" s="55" t="s">
        <v>666</v>
      </c>
      <c r="R25" s="1"/>
    </row>
    <row r="26" spans="3:20" ht="105">
      <c r="C26" s="27" t="s">
        <v>83</v>
      </c>
      <c r="D26" s="27" t="s">
        <v>656</v>
      </c>
      <c r="E26" s="27" t="s">
        <v>657</v>
      </c>
      <c r="F26" s="27" t="s">
        <v>853</v>
      </c>
      <c r="G26" s="26" t="s">
        <v>9</v>
      </c>
      <c r="H26" s="27" t="s">
        <v>659</v>
      </c>
      <c r="I26" s="27" t="s">
        <v>787</v>
      </c>
      <c r="J26" s="27" t="s">
        <v>34</v>
      </c>
      <c r="K26" s="33" t="s">
        <v>660</v>
      </c>
      <c r="L26" s="27" t="s">
        <v>661</v>
      </c>
      <c r="M26" s="33" t="s">
        <v>662</v>
      </c>
      <c r="N26" s="27" t="s">
        <v>788</v>
      </c>
      <c r="O26" s="27" t="s">
        <v>789</v>
      </c>
      <c r="P26" s="27" t="s">
        <v>854</v>
      </c>
      <c r="Q26" s="55" t="s">
        <v>663</v>
      </c>
      <c r="R26" s="1"/>
    </row>
    <row r="27" spans="3:20" ht="135">
      <c r="C27" s="27" t="s">
        <v>855</v>
      </c>
      <c r="D27" s="26" t="s">
        <v>798</v>
      </c>
      <c r="E27" s="26" t="s">
        <v>856</v>
      </c>
      <c r="F27" s="26" t="s">
        <v>857</v>
      </c>
      <c r="G27" s="26" t="s">
        <v>9</v>
      </c>
      <c r="H27" s="26" t="s">
        <v>710</v>
      </c>
      <c r="I27" s="27" t="s">
        <v>787</v>
      </c>
      <c r="J27" s="27" t="s">
        <v>224</v>
      </c>
      <c r="K27" s="33" t="s">
        <v>801</v>
      </c>
      <c r="L27" s="26" t="s">
        <v>314</v>
      </c>
      <c r="M27" s="34"/>
      <c r="N27" s="27" t="s">
        <v>788</v>
      </c>
      <c r="O27" s="27" t="s">
        <v>789</v>
      </c>
      <c r="P27" s="27" t="s">
        <v>834</v>
      </c>
      <c r="Q27" s="55" t="s">
        <v>858</v>
      </c>
      <c r="R27" s="1"/>
    </row>
    <row r="28" spans="3:20" ht="135">
      <c r="C28" s="37" t="s">
        <v>101</v>
      </c>
      <c r="D28" s="30" t="s">
        <v>227</v>
      </c>
      <c r="E28" s="30" t="s">
        <v>228</v>
      </c>
      <c r="F28" s="30" t="s">
        <v>859</v>
      </c>
      <c r="G28" s="30" t="s">
        <v>9</v>
      </c>
      <c r="H28" s="30" t="s">
        <v>349</v>
      </c>
      <c r="I28" s="37" t="s">
        <v>787</v>
      </c>
      <c r="J28" s="37" t="s">
        <v>224</v>
      </c>
      <c r="K28" s="35" t="s">
        <v>231</v>
      </c>
      <c r="L28" s="30" t="s">
        <v>232</v>
      </c>
      <c r="M28" s="36"/>
      <c r="N28" s="37" t="s">
        <v>788</v>
      </c>
      <c r="O28" s="37" t="s">
        <v>789</v>
      </c>
      <c r="P28" s="37" t="s">
        <v>860</v>
      </c>
      <c r="Q28" s="55" t="s">
        <v>704</v>
      </c>
      <c r="R28" s="1"/>
    </row>
    <row r="29" spans="3:20" ht="120">
      <c r="C29" s="30" t="s">
        <v>69</v>
      </c>
      <c r="D29" s="26" t="s">
        <v>160</v>
      </c>
      <c r="E29" s="26">
        <v>89011</v>
      </c>
      <c r="F29" s="37" t="s">
        <v>337</v>
      </c>
      <c r="G29" s="30" t="s">
        <v>9</v>
      </c>
      <c r="H29" s="26" t="s">
        <v>338</v>
      </c>
      <c r="I29" s="30" t="s">
        <v>787</v>
      </c>
      <c r="J29" s="26" t="s">
        <v>224</v>
      </c>
      <c r="K29" s="35" t="s">
        <v>339</v>
      </c>
      <c r="L29" s="41" t="s">
        <v>699</v>
      </c>
      <c r="M29" s="39" t="s">
        <v>341</v>
      </c>
      <c r="N29" s="41" t="s">
        <v>788</v>
      </c>
      <c r="O29" s="41" t="s">
        <v>789</v>
      </c>
      <c r="P29" s="41" t="s">
        <v>861</v>
      </c>
      <c r="Q29" s="55" t="s">
        <v>700</v>
      </c>
      <c r="S29" s="42"/>
      <c r="T29" s="42"/>
    </row>
    <row r="30" spans="3:20">
      <c r="C30" s="42"/>
      <c r="D30" s="42"/>
      <c r="E30" s="42"/>
      <c r="F30" s="42"/>
      <c r="G30" s="42"/>
      <c r="H30" s="42"/>
      <c r="I30" s="42"/>
      <c r="J30" s="42"/>
      <c r="K30" s="42"/>
      <c r="L30" s="42"/>
      <c r="M30" s="42"/>
      <c r="Q30" s="42"/>
      <c r="S30" s="42"/>
      <c r="T30" s="42"/>
    </row>
    <row r="31" spans="3:20">
      <c r="C31" s="42"/>
      <c r="D31" s="42"/>
      <c r="E31" s="42"/>
      <c r="F31" s="42"/>
      <c r="G31" s="42"/>
      <c r="H31" s="42"/>
      <c r="I31" s="42"/>
      <c r="J31" s="42"/>
      <c r="K31" s="42"/>
      <c r="L31" s="42"/>
      <c r="M31" s="42"/>
      <c r="Q31" s="42"/>
      <c r="S31" s="42"/>
      <c r="T31" s="42"/>
    </row>
    <row r="32" spans="3:20">
      <c r="C32" s="42"/>
      <c r="D32" s="42"/>
      <c r="E32" s="42"/>
      <c r="F32" s="42"/>
      <c r="G32" s="42"/>
      <c r="H32" s="42"/>
      <c r="I32" s="42"/>
      <c r="J32" s="42"/>
      <c r="K32" s="42"/>
      <c r="L32" s="42"/>
      <c r="M32" s="42"/>
      <c r="Q32" s="42"/>
      <c r="S32" s="42"/>
      <c r="T32" s="42"/>
    </row>
    <row r="33" spans="3:20">
      <c r="C33" s="42"/>
      <c r="D33" s="42"/>
      <c r="E33" s="42"/>
      <c r="F33" s="42"/>
      <c r="G33" s="42"/>
      <c r="H33" s="42"/>
      <c r="I33" s="42"/>
      <c r="J33" s="42"/>
      <c r="K33" s="42"/>
      <c r="L33" s="42"/>
      <c r="M33" s="42"/>
      <c r="Q33" s="42"/>
      <c r="S33" s="42"/>
      <c r="T33" s="42"/>
    </row>
    <row r="34" spans="3:20">
      <c r="C34" s="42"/>
      <c r="D34" s="42"/>
      <c r="E34" s="42"/>
      <c r="F34" s="42"/>
      <c r="G34" s="42"/>
      <c r="H34" s="42"/>
      <c r="I34" s="42"/>
      <c r="J34" s="42"/>
      <c r="K34" s="42"/>
      <c r="L34" s="42"/>
      <c r="M34" s="42"/>
      <c r="Q34" s="42"/>
      <c r="S34" s="42"/>
      <c r="T34" s="42"/>
    </row>
    <row r="35" spans="3:20">
      <c r="C35" s="42"/>
      <c r="D35" s="42"/>
      <c r="E35" s="42"/>
      <c r="F35" s="42"/>
      <c r="G35" s="42"/>
      <c r="H35" s="42"/>
      <c r="I35" s="42"/>
      <c r="J35" s="42"/>
      <c r="K35" s="42"/>
      <c r="L35" s="42"/>
      <c r="M35" s="42"/>
      <c r="Q35" s="42"/>
      <c r="S35" s="42"/>
      <c r="T35" s="42"/>
    </row>
    <row r="36" spans="3:20">
      <c r="C36" s="42"/>
      <c r="D36" s="42"/>
      <c r="E36" s="42"/>
      <c r="F36" s="42"/>
      <c r="G36" s="42"/>
      <c r="H36" s="42"/>
      <c r="I36" s="42"/>
      <c r="J36" s="42"/>
      <c r="K36" s="42"/>
      <c r="L36" s="42"/>
      <c r="M36" s="42"/>
      <c r="Q36" s="42"/>
      <c r="S36" s="42"/>
      <c r="T36" s="42"/>
    </row>
    <row r="37" spans="3:20">
      <c r="C37" s="42"/>
      <c r="D37" s="42"/>
      <c r="E37" s="42"/>
      <c r="F37" s="42"/>
      <c r="G37" s="42"/>
      <c r="H37" s="42"/>
      <c r="I37" s="42"/>
      <c r="J37" s="42"/>
      <c r="K37" s="42"/>
      <c r="L37" s="42"/>
      <c r="M37" s="42"/>
      <c r="Q37" s="42"/>
      <c r="S37" s="42"/>
      <c r="T37" s="42"/>
    </row>
    <row r="38" spans="3:20">
      <c r="C38" s="42"/>
      <c r="D38" s="42"/>
      <c r="E38" s="42"/>
      <c r="F38" s="42"/>
      <c r="G38" s="42"/>
      <c r="H38" s="42"/>
      <c r="I38" s="42"/>
      <c r="J38" s="42"/>
      <c r="K38" s="42"/>
      <c r="L38" s="42"/>
      <c r="M38" s="42"/>
      <c r="Q38" s="42"/>
      <c r="S38" s="42"/>
      <c r="T38" s="42"/>
    </row>
    <row r="39" spans="3:20">
      <c r="C39" s="42"/>
      <c r="D39" s="42"/>
      <c r="E39" s="42"/>
      <c r="F39" s="42"/>
      <c r="G39" s="42"/>
      <c r="H39" s="42"/>
      <c r="I39" s="42"/>
      <c r="J39" s="42"/>
      <c r="K39" s="42"/>
      <c r="L39" s="42"/>
      <c r="M39" s="42"/>
      <c r="Q39" s="42"/>
      <c r="S39" s="42"/>
      <c r="T39" s="42"/>
    </row>
    <row r="40" spans="3:20">
      <c r="C40" s="42"/>
      <c r="D40" s="42"/>
      <c r="E40" s="42"/>
      <c r="F40" s="42"/>
      <c r="G40" s="42"/>
      <c r="H40" s="42"/>
      <c r="I40" s="42"/>
      <c r="J40" s="42"/>
      <c r="K40" s="42"/>
      <c r="L40" s="42"/>
      <c r="M40" s="42"/>
      <c r="Q40" s="42"/>
      <c r="S40" s="42"/>
      <c r="T40" s="42"/>
    </row>
    <row r="41" spans="3:20">
      <c r="C41" s="42"/>
      <c r="D41" s="42"/>
      <c r="E41" s="42"/>
      <c r="F41" s="42"/>
      <c r="G41" s="42"/>
      <c r="H41" s="42"/>
      <c r="I41" s="42"/>
      <c r="J41" s="42"/>
      <c r="K41" s="42"/>
      <c r="L41" s="42"/>
      <c r="M41" s="42"/>
      <c r="Q41" s="42"/>
      <c r="S41" s="42"/>
      <c r="T41" s="42"/>
    </row>
    <row r="42" spans="3:20">
      <c r="C42" s="42"/>
      <c r="D42" s="42"/>
      <c r="E42" s="42"/>
      <c r="F42" s="42"/>
      <c r="G42" s="42"/>
      <c r="H42" s="42"/>
      <c r="I42" s="42"/>
      <c r="J42" s="42"/>
      <c r="K42" s="42"/>
      <c r="L42" s="42"/>
      <c r="M42" s="42"/>
      <c r="Q42" s="42"/>
      <c r="S42" s="42"/>
      <c r="T42" s="42"/>
    </row>
    <row r="43" spans="3:20">
      <c r="C43" s="42"/>
      <c r="D43" s="42"/>
      <c r="E43" s="42"/>
      <c r="F43" s="42"/>
      <c r="G43" s="42"/>
      <c r="H43" s="42"/>
      <c r="I43" s="42"/>
      <c r="J43" s="42"/>
      <c r="K43" s="42"/>
      <c r="L43" s="42"/>
      <c r="M43" s="42"/>
      <c r="Q43" s="42"/>
      <c r="S43" s="42"/>
      <c r="T43" s="42"/>
    </row>
    <row r="44" spans="3:20">
      <c r="C44" s="42"/>
      <c r="D44" s="42"/>
      <c r="E44" s="42"/>
      <c r="F44" s="42"/>
      <c r="G44" s="42"/>
      <c r="H44" s="42"/>
      <c r="I44" s="42"/>
      <c r="J44" s="42"/>
      <c r="K44" s="42"/>
      <c r="L44" s="42"/>
      <c r="M44" s="42"/>
      <c r="Q44" s="42"/>
      <c r="S44" s="42"/>
      <c r="T44" s="42"/>
    </row>
    <row r="45" spans="3:20">
      <c r="C45" s="42"/>
      <c r="D45" s="42"/>
      <c r="E45" s="42"/>
      <c r="F45" s="42"/>
      <c r="G45" s="42"/>
      <c r="H45" s="42"/>
      <c r="I45" s="42"/>
      <c r="J45" s="42"/>
      <c r="K45" s="42"/>
      <c r="L45" s="42"/>
      <c r="M45" s="42"/>
      <c r="Q45" s="42"/>
      <c r="S45" s="42"/>
      <c r="T45" s="42"/>
    </row>
    <row r="46" spans="3:20">
      <c r="C46" s="42"/>
      <c r="D46" s="42"/>
      <c r="E46" s="42"/>
      <c r="F46" s="42"/>
      <c r="G46" s="42"/>
      <c r="H46" s="42"/>
      <c r="I46" s="42"/>
      <c r="J46" s="42"/>
      <c r="K46" s="42"/>
      <c r="L46" s="42"/>
      <c r="M46" s="42"/>
      <c r="Q46" s="42"/>
      <c r="S46" s="42"/>
      <c r="T46" s="42"/>
    </row>
    <row r="47" spans="3:20">
      <c r="C47" s="42"/>
      <c r="D47" s="42"/>
      <c r="E47" s="42"/>
      <c r="F47" s="42"/>
      <c r="G47" s="42"/>
      <c r="H47" s="42"/>
      <c r="I47" s="42"/>
      <c r="J47" s="42"/>
      <c r="K47" s="42"/>
      <c r="L47" s="42"/>
      <c r="M47" s="42"/>
      <c r="Q47" s="42"/>
      <c r="S47" s="42"/>
      <c r="T47" s="42"/>
    </row>
    <row r="48" spans="3:20">
      <c r="C48" s="42"/>
      <c r="D48" s="42"/>
      <c r="E48" s="42"/>
      <c r="F48" s="42"/>
      <c r="G48" s="42"/>
      <c r="H48" s="42"/>
      <c r="I48" s="42"/>
      <c r="J48" s="42"/>
      <c r="K48" s="42"/>
      <c r="L48" s="42"/>
      <c r="M48" s="42"/>
      <c r="Q48" s="42"/>
      <c r="S48" s="42"/>
      <c r="T48" s="42"/>
    </row>
    <row r="49" spans="3:20">
      <c r="C49" s="42"/>
      <c r="D49" s="42"/>
      <c r="E49" s="42"/>
      <c r="F49" s="42"/>
      <c r="G49" s="42"/>
      <c r="H49" s="42"/>
      <c r="I49" s="42"/>
      <c r="J49" s="42"/>
      <c r="K49" s="42"/>
      <c r="L49" s="42"/>
      <c r="M49" s="42"/>
      <c r="Q49" s="42"/>
      <c r="S49" s="42"/>
      <c r="T49" s="42"/>
    </row>
    <row r="50" spans="3:20">
      <c r="C50" s="42"/>
      <c r="D50" s="42"/>
      <c r="E50" s="42"/>
      <c r="F50" s="42"/>
      <c r="G50" s="42"/>
      <c r="H50" s="42"/>
      <c r="I50" s="42"/>
      <c r="J50" s="42"/>
      <c r="K50" s="42"/>
      <c r="L50" s="42"/>
      <c r="M50" s="42"/>
      <c r="Q50" s="42"/>
      <c r="S50" s="42"/>
      <c r="T50" s="42"/>
    </row>
    <row r="51" spans="3:20">
      <c r="C51" s="42"/>
      <c r="D51" s="42"/>
      <c r="E51" s="42"/>
      <c r="F51" s="42"/>
      <c r="G51" s="42"/>
      <c r="H51" s="42"/>
      <c r="I51" s="42"/>
      <c r="J51" s="42"/>
      <c r="K51" s="42"/>
      <c r="L51" s="42"/>
      <c r="M51" s="42"/>
      <c r="Q51" s="42"/>
      <c r="S51" s="42"/>
      <c r="T51" s="42"/>
    </row>
    <row r="52" spans="3:20">
      <c r="C52" s="42"/>
      <c r="D52" s="42"/>
      <c r="E52" s="42"/>
      <c r="F52" s="42"/>
      <c r="G52" s="42"/>
      <c r="H52" s="42"/>
      <c r="I52" s="42"/>
      <c r="J52" s="42"/>
      <c r="K52" s="42"/>
      <c r="L52" s="42"/>
      <c r="M52" s="42"/>
      <c r="Q52" s="42"/>
      <c r="S52" s="42"/>
      <c r="T52" s="42"/>
    </row>
    <row r="53" spans="3:20">
      <c r="C53" s="42"/>
      <c r="D53" s="42"/>
      <c r="E53" s="42"/>
      <c r="F53" s="42"/>
      <c r="G53" s="42"/>
      <c r="H53" s="42"/>
      <c r="I53" s="42"/>
      <c r="J53" s="42"/>
      <c r="K53" s="42"/>
      <c r="L53" s="42"/>
      <c r="M53" s="42"/>
      <c r="Q53" s="42"/>
      <c r="S53" s="42"/>
      <c r="T53" s="42"/>
    </row>
    <row r="54" spans="3:20">
      <c r="C54" s="42"/>
      <c r="D54" s="42"/>
      <c r="E54" s="42"/>
      <c r="F54" s="42"/>
      <c r="G54" s="42"/>
      <c r="H54" s="42"/>
      <c r="I54" s="42"/>
      <c r="J54" s="42"/>
      <c r="K54" s="42"/>
      <c r="L54" s="42"/>
      <c r="M54" s="42"/>
      <c r="Q54" s="42"/>
      <c r="S54" s="42"/>
      <c r="T54" s="42"/>
    </row>
    <row r="55" spans="3:20">
      <c r="C55" s="42"/>
      <c r="D55" s="42"/>
      <c r="E55" s="42"/>
      <c r="F55" s="42"/>
      <c r="G55" s="42"/>
      <c r="H55" s="42"/>
      <c r="I55" s="42"/>
      <c r="J55" s="42"/>
      <c r="K55" s="42"/>
      <c r="L55" s="42"/>
      <c r="M55" s="42"/>
      <c r="Q55" s="42"/>
      <c r="S55" s="42"/>
      <c r="T55" s="42"/>
    </row>
    <row r="56" spans="3:20">
      <c r="C56" s="42"/>
      <c r="D56" s="42"/>
      <c r="E56" s="42"/>
      <c r="F56" s="42"/>
      <c r="G56" s="42"/>
      <c r="H56" s="42"/>
      <c r="I56" s="42"/>
      <c r="J56" s="42"/>
      <c r="K56" s="42"/>
      <c r="L56" s="42"/>
      <c r="M56" s="42"/>
      <c r="Q56" s="42"/>
      <c r="S56" s="42"/>
      <c r="T56" s="42"/>
    </row>
    <row r="57" spans="3:20">
      <c r="C57" s="42"/>
      <c r="D57" s="42"/>
      <c r="E57" s="42"/>
      <c r="F57" s="42"/>
      <c r="G57" s="42"/>
      <c r="H57" s="42"/>
      <c r="I57" s="42"/>
      <c r="J57" s="42"/>
      <c r="K57" s="42"/>
      <c r="L57" s="42"/>
      <c r="M57" s="42"/>
      <c r="Q57" s="42"/>
      <c r="S57" s="42"/>
      <c r="T57" s="42"/>
    </row>
    <row r="58" spans="3:20">
      <c r="C58" s="42"/>
      <c r="D58" s="42"/>
      <c r="E58" s="42"/>
      <c r="F58" s="42"/>
      <c r="G58" s="42"/>
      <c r="H58" s="42"/>
      <c r="I58" s="42"/>
      <c r="J58" s="42"/>
      <c r="K58" s="42"/>
      <c r="L58" s="42"/>
      <c r="M58" s="42"/>
      <c r="Q58" s="42"/>
      <c r="S58" s="42"/>
      <c r="T58" s="42"/>
    </row>
    <row r="59" spans="3:20">
      <c r="C59" s="42"/>
      <c r="D59" s="42"/>
      <c r="E59" s="42"/>
      <c r="F59" s="42"/>
      <c r="G59" s="42"/>
      <c r="H59" s="42"/>
      <c r="I59" s="42"/>
      <c r="J59" s="42"/>
      <c r="K59" s="42"/>
      <c r="L59" s="42"/>
      <c r="M59" s="42"/>
      <c r="Q59" s="42"/>
      <c r="S59" s="42"/>
      <c r="T59" s="42"/>
    </row>
    <row r="60" spans="3:20">
      <c r="C60" s="42"/>
      <c r="D60" s="42"/>
      <c r="E60" s="42"/>
      <c r="F60" s="42"/>
      <c r="G60" s="42"/>
      <c r="H60" s="42"/>
      <c r="I60" s="42"/>
      <c r="J60" s="42"/>
      <c r="K60" s="42"/>
      <c r="L60" s="42"/>
      <c r="M60" s="42"/>
      <c r="Q60" s="42"/>
      <c r="S60" s="42"/>
      <c r="T60" s="42"/>
    </row>
    <row r="61" spans="3:20">
      <c r="C61" s="42"/>
      <c r="D61" s="42"/>
      <c r="E61" s="42"/>
      <c r="F61" s="42"/>
      <c r="G61" s="42"/>
      <c r="H61" s="42"/>
      <c r="I61" s="42"/>
      <c r="J61" s="42"/>
      <c r="K61" s="42"/>
      <c r="L61" s="42"/>
      <c r="M61" s="42"/>
      <c r="Q61" s="42"/>
      <c r="S61" s="42"/>
      <c r="T61" s="42"/>
    </row>
  </sheetData>
  <hyperlinks>
    <hyperlink ref="M6" r:id="rId1"/>
    <hyperlink ref="M12" r:id="rId2"/>
    <hyperlink ref="M16" r:id="rId3"/>
    <hyperlink ref="M17" r:id="rId4"/>
    <hyperlink ref="M29" r:id="rId5"/>
    <hyperlink ref="K5" r:id="rId6"/>
    <hyperlink ref="K6" r:id="rId7"/>
    <hyperlink ref="K11" r:id="rId8"/>
    <hyperlink ref="K14" r:id="rId9"/>
    <hyperlink ref="K18" r:id="rId10"/>
  </hyperlinks>
  <pageMargins left="0.7" right="0.7" top="0.75" bottom="0.75" header="0.3" footer="0.3"/>
  <pageSetup paperSize="9" orientation="portrait" r:id="rId11"/>
  <tableParts count="1">
    <tablePart r:id="rId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9" tint="-0.499984740745262"/>
  </sheetPr>
  <dimension ref="A1:S67"/>
  <sheetViews>
    <sheetView workbookViewId="0"/>
  </sheetViews>
  <sheetFormatPr baseColWidth="10" defaultColWidth="10.5703125" defaultRowHeight="15"/>
  <cols>
    <col min="1" max="1" width="16.5703125" style="8" customWidth="1"/>
    <col min="2" max="2" width="5" style="1" customWidth="1"/>
    <col min="3" max="3" width="24.85546875" style="1" customWidth="1"/>
    <col min="4" max="4" width="19.42578125" style="1" customWidth="1"/>
    <col min="5" max="5" width="11.140625" style="1" customWidth="1"/>
    <col min="6" max="6" width="21.42578125" style="1" customWidth="1"/>
    <col min="7" max="7" width="16.42578125" style="1" customWidth="1"/>
    <col min="8" max="8" width="24.42578125" style="1" customWidth="1"/>
    <col min="9" max="9" width="10.5703125" style="1"/>
    <col min="10" max="10" width="12.42578125" style="1" customWidth="1"/>
    <col min="11" max="11" width="25.42578125" style="1" customWidth="1"/>
    <col min="12" max="12" width="18.85546875" style="1" customWidth="1"/>
    <col min="13" max="13" width="18.5703125" style="1" customWidth="1"/>
    <col min="16" max="16" width="43.5703125" customWidth="1"/>
    <col min="18" max="18" width="19.5703125" style="1" customWidth="1"/>
    <col min="19" max="19" width="35.42578125" style="1" customWidth="1"/>
    <col min="20" max="16384" width="10.5703125" style="1"/>
  </cols>
  <sheetData>
    <row r="1" spans="1:17" ht="11.1" customHeight="1">
      <c r="N1" s="1"/>
      <c r="O1" s="1"/>
      <c r="P1" s="1"/>
      <c r="Q1" s="1"/>
    </row>
    <row r="2" spans="1:17" ht="20.100000000000001" customHeight="1">
      <c r="C2" s="54" t="s">
        <v>862</v>
      </c>
      <c r="D2" s="54"/>
      <c r="E2" s="54"/>
      <c r="F2" s="54"/>
      <c r="G2" s="54"/>
      <c r="H2" s="54"/>
      <c r="I2" s="54"/>
      <c r="J2" s="54"/>
      <c r="K2" s="54"/>
      <c r="L2" s="54"/>
      <c r="M2" s="54"/>
      <c r="N2" s="54"/>
      <c r="O2" s="1"/>
      <c r="P2" s="1"/>
      <c r="Q2" s="1"/>
    </row>
    <row r="3" spans="1:17">
      <c r="N3" s="1"/>
      <c r="O3" s="1"/>
      <c r="P3" s="1"/>
      <c r="Q3" s="1"/>
    </row>
    <row r="4" spans="1:17" ht="77.25" customHeight="1">
      <c r="A4" s="9"/>
      <c r="C4" s="24" t="s">
        <v>17</v>
      </c>
      <c r="D4" s="23" t="s">
        <v>778</v>
      </c>
      <c r="E4" s="23" t="s">
        <v>19</v>
      </c>
      <c r="F4" s="23" t="s">
        <v>20</v>
      </c>
      <c r="G4" s="22" t="s">
        <v>21</v>
      </c>
      <c r="H4" s="22" t="s">
        <v>22</v>
      </c>
      <c r="I4" s="23" t="s">
        <v>779</v>
      </c>
      <c r="J4" s="24" t="s">
        <v>780</v>
      </c>
      <c r="K4" s="23" t="s">
        <v>24</v>
      </c>
      <c r="L4" s="23" t="s">
        <v>781</v>
      </c>
      <c r="M4" s="23" t="s">
        <v>782</v>
      </c>
      <c r="N4" s="23" t="s">
        <v>224</v>
      </c>
      <c r="O4" s="23" t="s">
        <v>863</v>
      </c>
      <c r="P4" s="23" t="s">
        <v>28</v>
      </c>
      <c r="Q4" s="1"/>
    </row>
    <row r="5" spans="1:17" ht="45">
      <c r="C5" s="27" t="s">
        <v>57</v>
      </c>
      <c r="D5" s="26" t="s">
        <v>785</v>
      </c>
      <c r="E5" s="26" t="s">
        <v>147</v>
      </c>
      <c r="F5" s="27" t="s">
        <v>864</v>
      </c>
      <c r="G5" s="26" t="s">
        <v>734</v>
      </c>
      <c r="H5" s="26" t="s">
        <v>651</v>
      </c>
      <c r="I5" s="27" t="s">
        <v>787</v>
      </c>
      <c r="J5" s="27" t="s">
        <v>224</v>
      </c>
      <c r="K5" s="33" t="s">
        <v>392</v>
      </c>
      <c r="L5" s="26" t="s">
        <v>706</v>
      </c>
      <c r="M5" s="33" t="s">
        <v>394</v>
      </c>
      <c r="N5" s="27" t="s">
        <v>788</v>
      </c>
      <c r="O5" s="26" t="s">
        <v>814</v>
      </c>
      <c r="P5" s="55" t="s">
        <v>735</v>
      </c>
      <c r="Q5" s="1"/>
    </row>
    <row r="6" spans="1:17" ht="60">
      <c r="C6" s="27" t="s">
        <v>83</v>
      </c>
      <c r="D6" s="26" t="s">
        <v>791</v>
      </c>
      <c r="E6" s="26" t="s">
        <v>195</v>
      </c>
      <c r="F6" s="27" t="s">
        <v>792</v>
      </c>
      <c r="G6" s="26" t="s">
        <v>734</v>
      </c>
      <c r="H6" s="26" t="s">
        <v>305</v>
      </c>
      <c r="I6" s="27" t="s">
        <v>787</v>
      </c>
      <c r="J6" s="27" t="s">
        <v>224</v>
      </c>
      <c r="K6" s="33" t="s">
        <v>306</v>
      </c>
      <c r="L6" s="26" t="s">
        <v>675</v>
      </c>
      <c r="M6" s="33" t="s">
        <v>308</v>
      </c>
      <c r="N6" s="27" t="s">
        <v>793</v>
      </c>
      <c r="O6" s="26" t="s">
        <v>814</v>
      </c>
      <c r="P6" s="55" t="s">
        <v>865</v>
      </c>
      <c r="Q6" s="1"/>
    </row>
    <row r="7" spans="1:17" ht="45">
      <c r="C7" s="27" t="s">
        <v>29</v>
      </c>
      <c r="D7" s="26" t="s">
        <v>866</v>
      </c>
      <c r="E7" s="26" t="s">
        <v>310</v>
      </c>
      <c r="F7" s="27" t="s">
        <v>799</v>
      </c>
      <c r="G7" s="26" t="s">
        <v>734</v>
      </c>
      <c r="H7" s="26" t="s">
        <v>800</v>
      </c>
      <c r="I7" s="27" t="s">
        <v>787</v>
      </c>
      <c r="J7" s="27" t="s">
        <v>224</v>
      </c>
      <c r="K7" s="33" t="s">
        <v>801</v>
      </c>
      <c r="L7" s="26" t="s">
        <v>736</v>
      </c>
      <c r="M7" s="34"/>
      <c r="N7" s="27" t="s">
        <v>788</v>
      </c>
      <c r="O7" s="26" t="s">
        <v>814</v>
      </c>
      <c r="P7" s="55" t="s">
        <v>735</v>
      </c>
      <c r="Q7" s="1"/>
    </row>
    <row r="8" spans="1:17" ht="75">
      <c r="C8" s="27" t="s">
        <v>49</v>
      </c>
      <c r="D8" s="26" t="s">
        <v>867</v>
      </c>
      <c r="E8" s="26" t="s">
        <v>358</v>
      </c>
      <c r="F8" s="27" t="s">
        <v>805</v>
      </c>
      <c r="G8" s="26" t="s">
        <v>734</v>
      </c>
      <c r="H8" s="26" t="s">
        <v>360</v>
      </c>
      <c r="I8" s="27" t="s">
        <v>787</v>
      </c>
      <c r="J8" s="27" t="s">
        <v>224</v>
      </c>
      <c r="K8" s="33" t="s">
        <v>361</v>
      </c>
      <c r="L8" s="26" t="s">
        <v>362</v>
      </c>
      <c r="M8" s="33" t="s">
        <v>363</v>
      </c>
      <c r="N8" s="27" t="s">
        <v>788</v>
      </c>
      <c r="O8" s="26" t="s">
        <v>814</v>
      </c>
      <c r="P8" s="55" t="s">
        <v>735</v>
      </c>
      <c r="Q8" s="1"/>
    </row>
    <row r="9" spans="1:17" ht="45">
      <c r="C9" s="27" t="s">
        <v>29</v>
      </c>
      <c r="D9" s="26" t="s">
        <v>199</v>
      </c>
      <c r="E9" s="26" t="s">
        <v>200</v>
      </c>
      <c r="F9" s="27" t="s">
        <v>808</v>
      </c>
      <c r="G9" s="26" t="s">
        <v>734</v>
      </c>
      <c r="H9" s="26" t="s">
        <v>323</v>
      </c>
      <c r="I9" s="27" t="s">
        <v>787</v>
      </c>
      <c r="J9" s="27" t="s">
        <v>224</v>
      </c>
      <c r="K9" s="33" t="s">
        <v>324</v>
      </c>
      <c r="L9" s="26" t="s">
        <v>610</v>
      </c>
      <c r="M9" s="33" t="s">
        <v>325</v>
      </c>
      <c r="N9" s="27" t="s">
        <v>788</v>
      </c>
      <c r="O9" s="26" t="s">
        <v>814</v>
      </c>
      <c r="P9" s="55" t="s">
        <v>735</v>
      </c>
      <c r="Q9" s="1"/>
    </row>
    <row r="10" spans="1:17" ht="45">
      <c r="C10" s="27" t="s">
        <v>812</v>
      </c>
      <c r="D10" s="26" t="s">
        <v>630</v>
      </c>
      <c r="E10" s="26" t="s">
        <v>631</v>
      </c>
      <c r="F10" s="27" t="s">
        <v>813</v>
      </c>
      <c r="G10" s="26" t="s">
        <v>734</v>
      </c>
      <c r="H10" s="26" t="s">
        <v>632</v>
      </c>
      <c r="I10" s="27" t="s">
        <v>814</v>
      </c>
      <c r="J10" s="27" t="s">
        <v>224</v>
      </c>
      <c r="K10" s="33" t="s">
        <v>744</v>
      </c>
      <c r="L10" s="26" t="s">
        <v>696</v>
      </c>
      <c r="M10" s="33" t="s">
        <v>634</v>
      </c>
      <c r="N10" s="27" t="s">
        <v>788</v>
      </c>
      <c r="O10" s="26" t="s">
        <v>814</v>
      </c>
      <c r="P10" s="55" t="s">
        <v>735</v>
      </c>
      <c r="Q10" s="1"/>
    </row>
    <row r="11" spans="1:17" ht="90">
      <c r="C11" s="27" t="s">
        <v>49</v>
      </c>
      <c r="D11" s="26" t="s">
        <v>868</v>
      </c>
      <c r="E11" s="26" t="s">
        <v>612</v>
      </c>
      <c r="F11" s="27" t="s">
        <v>817</v>
      </c>
      <c r="G11" s="26" t="s">
        <v>734</v>
      </c>
      <c r="H11" s="26" t="s">
        <v>613</v>
      </c>
      <c r="I11" s="27" t="s">
        <v>787</v>
      </c>
      <c r="J11" s="27" t="s">
        <v>224</v>
      </c>
      <c r="K11" s="33" t="s">
        <v>367</v>
      </c>
      <c r="L11" s="26" t="s">
        <v>684</v>
      </c>
      <c r="M11" s="33" t="s">
        <v>368</v>
      </c>
      <c r="N11" s="27" t="s">
        <v>788</v>
      </c>
      <c r="O11" s="26" t="s">
        <v>814</v>
      </c>
      <c r="P11" s="55" t="s">
        <v>735</v>
      </c>
      <c r="Q11" s="1"/>
    </row>
    <row r="12" spans="1:17" ht="120">
      <c r="C12" s="27" t="s">
        <v>29</v>
      </c>
      <c r="D12" s="26" t="s">
        <v>618</v>
      </c>
      <c r="E12" s="26" t="s">
        <v>95</v>
      </c>
      <c r="F12" s="27" t="s">
        <v>869</v>
      </c>
      <c r="G12" s="26" t="s">
        <v>734</v>
      </c>
      <c r="H12" s="26" t="s">
        <v>738</v>
      </c>
      <c r="I12" s="27" t="s">
        <v>787</v>
      </c>
      <c r="J12" s="27" t="s">
        <v>224</v>
      </c>
      <c r="K12" s="33" t="s">
        <v>739</v>
      </c>
      <c r="L12" s="26" t="s">
        <v>740</v>
      </c>
      <c r="M12" s="33" t="s">
        <v>623</v>
      </c>
      <c r="N12" s="27" t="s">
        <v>788</v>
      </c>
      <c r="O12" s="26" t="s">
        <v>787</v>
      </c>
      <c r="P12" s="55" t="s">
        <v>741</v>
      </c>
      <c r="Q12" s="1"/>
    </row>
    <row r="13" spans="1:17" ht="45">
      <c r="C13" s="27" t="s">
        <v>49</v>
      </c>
      <c r="D13" s="26" t="s">
        <v>816</v>
      </c>
      <c r="E13" s="26" t="s">
        <v>612</v>
      </c>
      <c r="F13" s="27" t="s">
        <v>825</v>
      </c>
      <c r="G13" s="26" t="s">
        <v>734</v>
      </c>
      <c r="H13" s="26" t="s">
        <v>826</v>
      </c>
      <c r="I13" s="27" t="s">
        <v>787</v>
      </c>
      <c r="J13" s="27" t="s">
        <v>224</v>
      </c>
      <c r="K13" s="33" t="s">
        <v>367</v>
      </c>
      <c r="L13" s="26" t="s">
        <v>684</v>
      </c>
      <c r="M13" s="33" t="s">
        <v>368</v>
      </c>
      <c r="N13" s="27" t="s">
        <v>788</v>
      </c>
      <c r="O13" s="26" t="s">
        <v>814</v>
      </c>
      <c r="P13" s="55" t="s">
        <v>735</v>
      </c>
      <c r="Q13" s="1"/>
    </row>
    <row r="14" spans="1:17" ht="120">
      <c r="C14" s="27" t="s">
        <v>829</v>
      </c>
      <c r="D14" s="26" t="s">
        <v>186</v>
      </c>
      <c r="E14" s="26" t="s">
        <v>187</v>
      </c>
      <c r="F14" s="27" t="s">
        <v>870</v>
      </c>
      <c r="G14" s="26" t="s">
        <v>734</v>
      </c>
      <c r="H14" s="26" t="s">
        <v>690</v>
      </c>
      <c r="I14" s="27" t="s">
        <v>814</v>
      </c>
      <c r="J14" s="27" t="s">
        <v>224</v>
      </c>
      <c r="K14" s="33" t="s">
        <v>691</v>
      </c>
      <c r="L14" s="26" t="s">
        <v>692</v>
      </c>
      <c r="M14" s="33" t="s">
        <v>693</v>
      </c>
      <c r="N14" s="27" t="s">
        <v>788</v>
      </c>
      <c r="O14" s="26" t="s">
        <v>814</v>
      </c>
      <c r="P14" s="55" t="s">
        <v>735</v>
      </c>
      <c r="Q14" s="1"/>
    </row>
    <row r="15" spans="1:17" ht="45">
      <c r="C15" s="27" t="s">
        <v>29</v>
      </c>
      <c r="D15" s="26" t="s">
        <v>866</v>
      </c>
      <c r="E15" s="26" t="s">
        <v>310</v>
      </c>
      <c r="F15" s="27" t="s">
        <v>832</v>
      </c>
      <c r="G15" s="26" t="s">
        <v>734</v>
      </c>
      <c r="H15" s="26" t="s">
        <v>833</v>
      </c>
      <c r="I15" s="27" t="s">
        <v>787</v>
      </c>
      <c r="J15" s="27" t="s">
        <v>224</v>
      </c>
      <c r="K15" s="33" t="s">
        <v>313</v>
      </c>
      <c r="L15" s="26" t="s">
        <v>314</v>
      </c>
      <c r="M15" s="34"/>
      <c r="N15" s="27" t="s">
        <v>788</v>
      </c>
      <c r="O15" s="26" t="s">
        <v>814</v>
      </c>
      <c r="P15" s="55" t="s">
        <v>735</v>
      </c>
      <c r="Q15" s="1"/>
    </row>
    <row r="16" spans="1:17" ht="60">
      <c r="C16" s="27" t="s">
        <v>49</v>
      </c>
      <c r="D16" s="26" t="s">
        <v>868</v>
      </c>
      <c r="E16" s="26" t="s">
        <v>612</v>
      </c>
      <c r="F16" s="27" t="s">
        <v>871</v>
      </c>
      <c r="G16" s="26" t="s">
        <v>734</v>
      </c>
      <c r="H16" s="26" t="s">
        <v>836</v>
      </c>
      <c r="I16" s="27" t="s">
        <v>787</v>
      </c>
      <c r="J16" s="27" t="s">
        <v>224</v>
      </c>
      <c r="K16" s="33" t="s">
        <v>367</v>
      </c>
      <c r="L16" s="26" t="s">
        <v>684</v>
      </c>
      <c r="M16" s="33" t="s">
        <v>368</v>
      </c>
      <c r="N16" s="27" t="s">
        <v>788</v>
      </c>
      <c r="O16" s="26" t="s">
        <v>814</v>
      </c>
      <c r="P16" s="55" t="s">
        <v>735</v>
      </c>
      <c r="Q16" s="1"/>
    </row>
    <row r="17" spans="3:19" ht="105">
      <c r="C17" s="27" t="s">
        <v>844</v>
      </c>
      <c r="D17" s="26" t="s">
        <v>186</v>
      </c>
      <c r="E17" s="26" t="s">
        <v>187</v>
      </c>
      <c r="F17" s="27" t="s">
        <v>845</v>
      </c>
      <c r="G17" s="26" t="s">
        <v>734</v>
      </c>
      <c r="H17" s="26" t="s">
        <v>344</v>
      </c>
      <c r="I17" s="27" t="s">
        <v>787</v>
      </c>
      <c r="J17" s="27" t="s">
        <v>224</v>
      </c>
      <c r="K17" s="33" t="s">
        <v>345</v>
      </c>
      <c r="L17" s="26" t="s">
        <v>701</v>
      </c>
      <c r="M17" s="33" t="s">
        <v>347</v>
      </c>
      <c r="N17" s="27" t="s">
        <v>788</v>
      </c>
      <c r="O17" s="26" t="s">
        <v>814</v>
      </c>
      <c r="P17" s="55" t="s">
        <v>735</v>
      </c>
      <c r="Q17" s="1"/>
    </row>
    <row r="18" spans="3:19" ht="30">
      <c r="C18" s="27" t="s">
        <v>29</v>
      </c>
      <c r="D18" s="26" t="s">
        <v>872</v>
      </c>
      <c r="E18" s="26" t="s">
        <v>873</v>
      </c>
      <c r="F18" s="27" t="s">
        <v>874</v>
      </c>
      <c r="G18" s="26" t="s">
        <v>734</v>
      </c>
      <c r="H18" s="26" t="s">
        <v>620</v>
      </c>
      <c r="I18" s="27" t="s">
        <v>787</v>
      </c>
      <c r="J18" s="27" t="s">
        <v>224</v>
      </c>
      <c r="K18" s="33" t="s">
        <v>621</v>
      </c>
      <c r="L18" s="26" t="s">
        <v>622</v>
      </c>
      <c r="M18" s="33" t="s">
        <v>623</v>
      </c>
      <c r="N18" s="27" t="s">
        <v>788</v>
      </c>
      <c r="O18" s="26" t="s">
        <v>787</v>
      </c>
      <c r="P18" s="55" t="s">
        <v>742</v>
      </c>
      <c r="Q18" s="1"/>
    </row>
    <row r="19" spans="3:19" ht="60">
      <c r="C19" s="27" t="s">
        <v>83</v>
      </c>
      <c r="D19" s="26" t="s">
        <v>875</v>
      </c>
      <c r="E19" s="26" t="s">
        <v>222</v>
      </c>
      <c r="F19" s="27" t="s">
        <v>876</v>
      </c>
      <c r="G19" s="26" t="s">
        <v>734</v>
      </c>
      <c r="H19" s="26" t="s">
        <v>626</v>
      </c>
      <c r="I19" s="27" t="s">
        <v>787</v>
      </c>
      <c r="J19" s="27" t="s">
        <v>224</v>
      </c>
      <c r="K19" s="33" t="s">
        <v>627</v>
      </c>
      <c r="L19" s="26" t="s">
        <v>696</v>
      </c>
      <c r="M19" s="34"/>
      <c r="N19" s="27" t="s">
        <v>788</v>
      </c>
      <c r="O19" s="26" t="s">
        <v>814</v>
      </c>
      <c r="P19" s="55" t="s">
        <v>735</v>
      </c>
      <c r="Q19" s="1"/>
    </row>
    <row r="20" spans="3:19" ht="45">
      <c r="C20" s="27" t="s">
        <v>83</v>
      </c>
      <c r="D20" s="26" t="s">
        <v>877</v>
      </c>
      <c r="E20" s="26" t="s">
        <v>657</v>
      </c>
      <c r="F20" s="27" t="s">
        <v>853</v>
      </c>
      <c r="G20" s="26" t="s">
        <v>734</v>
      </c>
      <c r="H20" s="26" t="s">
        <v>659</v>
      </c>
      <c r="I20" s="27" t="s">
        <v>787</v>
      </c>
      <c r="J20" s="27" t="s">
        <v>34</v>
      </c>
      <c r="K20" s="33" t="s">
        <v>660</v>
      </c>
      <c r="L20" s="26" t="s">
        <v>661</v>
      </c>
      <c r="M20" s="33" t="s">
        <v>662</v>
      </c>
      <c r="N20" s="27" t="s">
        <v>788</v>
      </c>
      <c r="O20" s="26" t="s">
        <v>814</v>
      </c>
      <c r="P20" s="55" t="s">
        <v>735</v>
      </c>
      <c r="Q20" s="1"/>
    </row>
    <row r="21" spans="3:19" ht="60">
      <c r="C21" s="37" t="s">
        <v>855</v>
      </c>
      <c r="D21" s="30" t="s">
        <v>798</v>
      </c>
      <c r="E21" s="30" t="s">
        <v>856</v>
      </c>
      <c r="F21" s="37" t="s">
        <v>857</v>
      </c>
      <c r="G21" s="30" t="s">
        <v>734</v>
      </c>
      <c r="H21" s="30" t="s">
        <v>710</v>
      </c>
      <c r="I21" s="37" t="s">
        <v>787</v>
      </c>
      <c r="J21" s="37" t="s">
        <v>224</v>
      </c>
      <c r="K21" s="35" t="s">
        <v>801</v>
      </c>
      <c r="L21" s="30" t="s">
        <v>878</v>
      </c>
      <c r="M21" s="36"/>
      <c r="N21" s="37" t="s">
        <v>788</v>
      </c>
      <c r="O21" s="37" t="s">
        <v>814</v>
      </c>
      <c r="P21" s="55" t="s">
        <v>735</v>
      </c>
      <c r="Q21" s="1"/>
    </row>
    <row r="22" spans="3:19" ht="45">
      <c r="C22" s="30" t="s">
        <v>69</v>
      </c>
      <c r="D22" s="30" t="s">
        <v>160</v>
      </c>
      <c r="E22" s="30">
        <v>89011</v>
      </c>
      <c r="F22" s="30" t="s">
        <v>337</v>
      </c>
      <c r="G22" s="30" t="s">
        <v>734</v>
      </c>
      <c r="H22" s="30" t="s">
        <v>338</v>
      </c>
      <c r="I22" s="30" t="s">
        <v>787</v>
      </c>
      <c r="J22" s="30" t="s">
        <v>224</v>
      </c>
      <c r="K22" s="40" t="s">
        <v>339</v>
      </c>
      <c r="L22" s="30" t="s">
        <v>699</v>
      </c>
      <c r="M22" s="40" t="s">
        <v>341</v>
      </c>
      <c r="N22" s="37" t="s">
        <v>788</v>
      </c>
      <c r="O22" s="37" t="s">
        <v>814</v>
      </c>
      <c r="P22" s="55" t="s">
        <v>735</v>
      </c>
      <c r="R22" s="42"/>
      <c r="S22" s="42"/>
    </row>
    <row r="23" spans="3:19">
      <c r="C23" s="42"/>
      <c r="D23" s="42"/>
      <c r="E23" s="42"/>
      <c r="F23" s="42"/>
      <c r="G23" s="42"/>
      <c r="H23" s="42"/>
      <c r="I23" s="42"/>
      <c r="J23" s="42"/>
      <c r="K23" s="42"/>
      <c r="L23" s="42"/>
      <c r="M23" s="42"/>
      <c r="R23" s="42"/>
      <c r="S23" s="42"/>
    </row>
    <row r="24" spans="3:19">
      <c r="C24" s="42"/>
      <c r="D24" s="42"/>
      <c r="E24" s="42"/>
      <c r="F24" s="42"/>
      <c r="G24" s="42"/>
      <c r="H24" s="42"/>
      <c r="I24" s="42"/>
      <c r="J24" s="42"/>
      <c r="K24" s="42"/>
      <c r="L24" s="42"/>
      <c r="M24" s="42"/>
      <c r="R24" s="42"/>
      <c r="S24" s="42"/>
    </row>
    <row r="25" spans="3:19">
      <c r="C25" s="42"/>
      <c r="D25" s="42"/>
      <c r="E25" s="42"/>
      <c r="F25" s="42"/>
      <c r="G25" s="42"/>
      <c r="H25" s="42"/>
      <c r="I25" s="42"/>
      <c r="J25" s="42"/>
      <c r="K25" s="42"/>
      <c r="L25" s="42"/>
      <c r="M25" s="42"/>
      <c r="R25" s="42"/>
      <c r="S25" s="42"/>
    </row>
    <row r="26" spans="3:19">
      <c r="C26" s="42"/>
      <c r="D26" s="42"/>
      <c r="E26" s="42"/>
      <c r="F26" s="42"/>
      <c r="G26" s="42"/>
      <c r="H26" s="42"/>
      <c r="I26" s="42"/>
      <c r="J26" s="42"/>
      <c r="K26" s="42"/>
      <c r="L26" s="42"/>
      <c r="M26" s="42"/>
      <c r="R26" s="42"/>
      <c r="S26" s="42"/>
    </row>
    <row r="27" spans="3:19">
      <c r="C27" s="42"/>
      <c r="D27" s="42"/>
      <c r="E27" s="42"/>
      <c r="F27" s="42"/>
      <c r="G27" s="42"/>
      <c r="H27" s="42"/>
      <c r="I27" s="42"/>
      <c r="J27" s="42"/>
      <c r="K27" s="42"/>
      <c r="L27" s="42"/>
      <c r="M27" s="42"/>
      <c r="R27" s="42"/>
      <c r="S27" s="42"/>
    </row>
    <row r="28" spans="3:19">
      <c r="C28" s="42"/>
      <c r="D28" s="42"/>
      <c r="E28" s="42"/>
      <c r="F28" s="42"/>
      <c r="G28" s="42"/>
      <c r="H28" s="42"/>
      <c r="I28" s="42"/>
      <c r="J28" s="42"/>
      <c r="K28" s="42"/>
      <c r="L28" s="42"/>
      <c r="M28" s="42"/>
      <c r="R28" s="42"/>
      <c r="S28" s="42"/>
    </row>
    <row r="29" spans="3:19">
      <c r="C29" s="42"/>
      <c r="D29" s="42"/>
      <c r="E29" s="42"/>
      <c r="F29" s="42"/>
      <c r="G29" s="42"/>
      <c r="H29" s="42"/>
      <c r="I29" s="42"/>
      <c r="J29" s="42"/>
      <c r="K29" s="42"/>
      <c r="L29" s="42"/>
      <c r="M29" s="42"/>
      <c r="R29" s="42"/>
      <c r="S29" s="42"/>
    </row>
    <row r="30" spans="3:19">
      <c r="C30" s="42"/>
      <c r="D30" s="42"/>
      <c r="E30" s="42"/>
      <c r="F30" s="42"/>
      <c r="G30" s="42"/>
      <c r="H30" s="42"/>
      <c r="I30" s="42"/>
      <c r="J30" s="42"/>
      <c r="K30" s="42"/>
      <c r="L30" s="42"/>
      <c r="M30" s="42"/>
      <c r="R30" s="42"/>
      <c r="S30" s="42"/>
    </row>
    <row r="31" spans="3:19">
      <c r="C31" s="42"/>
      <c r="D31" s="42"/>
      <c r="E31" s="42"/>
      <c r="F31" s="42"/>
      <c r="G31" s="42"/>
      <c r="H31" s="42"/>
      <c r="I31" s="42"/>
      <c r="J31" s="42"/>
      <c r="K31" s="42"/>
      <c r="L31" s="42"/>
      <c r="M31" s="42"/>
      <c r="R31" s="42"/>
      <c r="S31" s="42"/>
    </row>
    <row r="32" spans="3:19">
      <c r="C32" s="42"/>
      <c r="D32" s="42"/>
      <c r="E32" s="42"/>
      <c r="F32" s="42"/>
      <c r="G32" s="42"/>
      <c r="H32" s="42"/>
      <c r="I32" s="42"/>
      <c r="J32" s="42"/>
      <c r="K32" s="42"/>
      <c r="L32" s="42"/>
      <c r="M32" s="42"/>
      <c r="R32" s="42"/>
      <c r="S32" s="42"/>
    </row>
    <row r="33" spans="3:19">
      <c r="C33" s="42"/>
      <c r="D33" s="42"/>
      <c r="E33" s="42"/>
      <c r="F33" s="42"/>
      <c r="G33" s="42"/>
      <c r="H33" s="42"/>
      <c r="I33" s="42"/>
      <c r="J33" s="42"/>
      <c r="K33" s="42"/>
      <c r="L33" s="42"/>
      <c r="M33" s="42"/>
      <c r="R33" s="42"/>
      <c r="S33" s="42"/>
    </row>
    <row r="34" spans="3:19">
      <c r="C34" s="42"/>
      <c r="D34" s="42"/>
      <c r="E34" s="42"/>
      <c r="F34" s="42"/>
      <c r="G34" s="42"/>
      <c r="H34" s="42"/>
      <c r="I34" s="42"/>
      <c r="J34" s="42"/>
      <c r="K34" s="42"/>
      <c r="L34" s="42"/>
      <c r="M34" s="42"/>
      <c r="R34" s="42"/>
      <c r="S34" s="42"/>
    </row>
    <row r="35" spans="3:19">
      <c r="C35" s="42"/>
      <c r="D35" s="42"/>
      <c r="E35" s="42"/>
      <c r="F35" s="42"/>
      <c r="G35" s="42"/>
      <c r="H35" s="42"/>
      <c r="I35" s="42"/>
      <c r="J35" s="42"/>
      <c r="K35" s="42"/>
      <c r="L35" s="42"/>
      <c r="M35" s="42"/>
      <c r="R35" s="42"/>
      <c r="S35" s="42"/>
    </row>
    <row r="36" spans="3:19">
      <c r="C36" s="42"/>
      <c r="D36" s="42"/>
      <c r="E36" s="42"/>
      <c r="F36" s="42"/>
      <c r="G36" s="42"/>
      <c r="H36" s="42"/>
      <c r="I36" s="42"/>
      <c r="J36" s="42"/>
      <c r="K36" s="42"/>
      <c r="L36" s="42"/>
      <c r="M36" s="42"/>
      <c r="R36" s="42"/>
      <c r="S36" s="42"/>
    </row>
    <row r="37" spans="3:19">
      <c r="C37" s="42"/>
      <c r="D37" s="42"/>
      <c r="E37" s="42"/>
      <c r="F37" s="42"/>
      <c r="G37" s="42"/>
      <c r="H37" s="42"/>
      <c r="I37" s="42"/>
      <c r="J37" s="42"/>
      <c r="K37" s="42"/>
      <c r="L37" s="42"/>
      <c r="M37" s="42"/>
      <c r="R37" s="42"/>
      <c r="S37" s="42"/>
    </row>
    <row r="38" spans="3:19">
      <c r="C38" s="42"/>
      <c r="D38" s="42"/>
      <c r="E38" s="42"/>
      <c r="F38" s="42"/>
      <c r="G38" s="42"/>
      <c r="H38" s="42"/>
      <c r="I38" s="42"/>
      <c r="J38" s="42"/>
      <c r="K38" s="42"/>
      <c r="L38" s="42"/>
      <c r="M38" s="42"/>
      <c r="R38" s="42"/>
      <c r="S38" s="42"/>
    </row>
    <row r="39" spans="3:19">
      <c r="C39" s="42"/>
      <c r="D39" s="42"/>
      <c r="E39" s="42"/>
      <c r="F39" s="42"/>
      <c r="G39" s="42"/>
      <c r="H39" s="42"/>
      <c r="I39" s="42"/>
      <c r="J39" s="42"/>
      <c r="K39" s="42"/>
      <c r="L39" s="42"/>
      <c r="M39" s="42"/>
      <c r="R39" s="42"/>
      <c r="S39" s="42"/>
    </row>
    <row r="40" spans="3:19">
      <c r="C40" s="42"/>
      <c r="D40" s="42"/>
      <c r="E40" s="42"/>
      <c r="F40" s="42"/>
      <c r="G40" s="42"/>
      <c r="H40" s="42"/>
      <c r="I40" s="42"/>
      <c r="J40" s="42"/>
      <c r="K40" s="42"/>
      <c r="L40" s="42"/>
      <c r="M40" s="42"/>
      <c r="R40" s="42"/>
      <c r="S40" s="42"/>
    </row>
    <row r="41" spans="3:19">
      <c r="C41" s="42"/>
      <c r="D41" s="42"/>
      <c r="E41" s="42"/>
      <c r="F41" s="42"/>
      <c r="G41" s="42"/>
      <c r="H41" s="42"/>
      <c r="I41" s="42"/>
      <c r="J41" s="42"/>
      <c r="K41" s="42"/>
      <c r="L41" s="42"/>
      <c r="M41" s="42"/>
      <c r="R41" s="42"/>
      <c r="S41" s="42"/>
    </row>
    <row r="42" spans="3:19">
      <c r="C42" s="42"/>
      <c r="D42" s="42"/>
      <c r="E42" s="42"/>
      <c r="F42" s="42"/>
      <c r="G42" s="42"/>
      <c r="H42" s="42"/>
      <c r="I42" s="42"/>
      <c r="J42" s="42"/>
      <c r="K42" s="42"/>
      <c r="L42" s="42"/>
      <c r="M42" s="42"/>
      <c r="R42" s="42"/>
      <c r="S42" s="42"/>
    </row>
    <row r="43" spans="3:19">
      <c r="C43" s="42"/>
      <c r="D43" s="42"/>
      <c r="E43" s="42"/>
      <c r="F43" s="42"/>
      <c r="G43" s="42"/>
      <c r="H43" s="42"/>
      <c r="I43" s="42"/>
      <c r="J43" s="42"/>
      <c r="K43" s="42"/>
      <c r="L43" s="42"/>
      <c r="M43" s="42"/>
      <c r="R43" s="42"/>
      <c r="S43" s="42"/>
    </row>
    <row r="44" spans="3:19">
      <c r="C44" s="42"/>
      <c r="D44" s="42"/>
      <c r="E44" s="42"/>
      <c r="F44" s="42"/>
      <c r="G44" s="42"/>
      <c r="H44" s="42"/>
      <c r="I44" s="42"/>
      <c r="J44" s="42"/>
      <c r="K44" s="42"/>
      <c r="L44" s="42"/>
      <c r="M44" s="42"/>
      <c r="R44" s="42"/>
      <c r="S44" s="42"/>
    </row>
    <row r="45" spans="3:19">
      <c r="C45" s="42"/>
      <c r="D45" s="42"/>
      <c r="E45" s="42"/>
      <c r="F45" s="42"/>
      <c r="G45" s="42"/>
      <c r="H45" s="42"/>
      <c r="I45" s="42"/>
      <c r="J45" s="42"/>
      <c r="K45" s="42"/>
      <c r="L45" s="42"/>
      <c r="M45" s="42"/>
      <c r="R45" s="42"/>
      <c r="S45" s="42"/>
    </row>
    <row r="46" spans="3:19">
      <c r="C46" s="42"/>
      <c r="D46" s="42"/>
      <c r="E46" s="42"/>
      <c r="F46" s="42"/>
      <c r="G46" s="42"/>
      <c r="H46" s="42"/>
      <c r="I46" s="42"/>
      <c r="J46" s="42"/>
      <c r="K46" s="42"/>
      <c r="L46" s="42"/>
      <c r="M46" s="42"/>
      <c r="R46" s="42"/>
      <c r="S46" s="42"/>
    </row>
    <row r="47" spans="3:19">
      <c r="C47" s="42"/>
      <c r="D47" s="42"/>
      <c r="E47" s="42"/>
      <c r="F47" s="42"/>
      <c r="G47" s="42"/>
      <c r="H47" s="42"/>
      <c r="I47" s="42"/>
      <c r="J47" s="42"/>
      <c r="K47" s="42"/>
      <c r="L47" s="42"/>
      <c r="M47" s="42"/>
      <c r="R47" s="42"/>
      <c r="S47" s="42"/>
    </row>
    <row r="48" spans="3:19">
      <c r="C48" s="42"/>
      <c r="D48" s="42"/>
      <c r="E48" s="42"/>
      <c r="F48" s="42"/>
      <c r="G48" s="42"/>
      <c r="H48" s="42"/>
      <c r="I48" s="42"/>
      <c r="J48" s="42"/>
      <c r="K48" s="42"/>
      <c r="L48" s="42"/>
      <c r="M48" s="42"/>
      <c r="R48" s="42"/>
      <c r="S48" s="42"/>
    </row>
    <row r="49" spans="3:19">
      <c r="C49" s="42"/>
      <c r="D49" s="42"/>
      <c r="E49" s="42"/>
      <c r="F49" s="42"/>
      <c r="G49" s="42"/>
      <c r="H49" s="42"/>
      <c r="I49" s="42"/>
      <c r="J49" s="42"/>
      <c r="K49" s="42"/>
      <c r="L49" s="42"/>
      <c r="M49" s="42"/>
      <c r="R49" s="42"/>
      <c r="S49" s="42"/>
    </row>
    <row r="50" spans="3:19">
      <c r="C50" s="42"/>
      <c r="D50" s="42"/>
      <c r="E50" s="42"/>
      <c r="F50" s="42"/>
      <c r="G50" s="42"/>
      <c r="H50" s="42"/>
      <c r="I50" s="42"/>
      <c r="J50" s="42"/>
      <c r="K50" s="42"/>
      <c r="L50" s="42"/>
      <c r="M50" s="42"/>
      <c r="R50" s="42"/>
      <c r="S50" s="42"/>
    </row>
    <row r="51" spans="3:19">
      <c r="C51" s="42"/>
      <c r="D51" s="42"/>
      <c r="E51" s="42"/>
      <c r="F51" s="42"/>
      <c r="G51" s="42"/>
      <c r="H51" s="42"/>
      <c r="I51" s="42"/>
      <c r="J51" s="42"/>
      <c r="K51" s="42"/>
      <c r="L51" s="42"/>
      <c r="M51" s="42"/>
      <c r="R51" s="42"/>
      <c r="S51" s="42"/>
    </row>
    <row r="52" spans="3:19">
      <c r="C52" s="42"/>
      <c r="D52" s="42"/>
      <c r="E52" s="42"/>
      <c r="F52" s="42"/>
      <c r="G52" s="42"/>
      <c r="H52" s="42"/>
      <c r="I52" s="42"/>
      <c r="J52" s="42"/>
      <c r="K52" s="42"/>
      <c r="L52" s="42"/>
      <c r="M52" s="42"/>
      <c r="R52" s="42"/>
      <c r="S52" s="42"/>
    </row>
    <row r="53" spans="3:19">
      <c r="C53" s="42"/>
      <c r="D53" s="42"/>
      <c r="E53" s="42"/>
      <c r="F53" s="42"/>
      <c r="G53" s="42"/>
      <c r="H53" s="42"/>
      <c r="I53" s="42"/>
      <c r="J53" s="42"/>
      <c r="K53" s="42"/>
      <c r="L53" s="42"/>
      <c r="M53" s="42"/>
      <c r="R53" s="42"/>
      <c r="S53" s="42"/>
    </row>
    <row r="54" spans="3:19">
      <c r="C54" s="42"/>
      <c r="D54" s="42"/>
      <c r="E54" s="42"/>
      <c r="F54" s="42"/>
      <c r="G54" s="42"/>
      <c r="H54" s="42"/>
      <c r="I54" s="42"/>
      <c r="J54" s="42"/>
      <c r="K54" s="42"/>
      <c r="L54" s="42"/>
      <c r="M54" s="42"/>
      <c r="R54" s="42"/>
      <c r="S54" s="42"/>
    </row>
    <row r="55" spans="3:19">
      <c r="C55" s="42"/>
      <c r="D55" s="42"/>
      <c r="E55" s="42"/>
      <c r="F55" s="42"/>
      <c r="G55" s="42"/>
      <c r="H55" s="42"/>
      <c r="I55" s="42"/>
      <c r="J55" s="42"/>
      <c r="K55" s="42"/>
      <c r="L55" s="42"/>
      <c r="M55" s="42"/>
      <c r="R55" s="42"/>
      <c r="S55" s="42"/>
    </row>
    <row r="56" spans="3:19">
      <c r="C56" s="42"/>
      <c r="D56" s="42"/>
      <c r="E56" s="42"/>
      <c r="F56" s="42"/>
      <c r="G56" s="42"/>
      <c r="H56" s="42"/>
      <c r="I56" s="42"/>
      <c r="J56" s="42"/>
      <c r="K56" s="42"/>
      <c r="L56" s="42"/>
      <c r="M56" s="42"/>
      <c r="R56" s="42"/>
      <c r="S56" s="42"/>
    </row>
    <row r="57" spans="3:19">
      <c r="C57" s="42"/>
      <c r="D57" s="42"/>
      <c r="E57" s="42"/>
      <c r="F57" s="42"/>
      <c r="G57" s="42"/>
      <c r="H57" s="42"/>
      <c r="I57" s="42"/>
      <c r="J57" s="42"/>
      <c r="K57" s="42"/>
      <c r="L57" s="42"/>
      <c r="M57" s="42"/>
      <c r="R57" s="42"/>
      <c r="S57" s="42"/>
    </row>
    <row r="58" spans="3:19">
      <c r="C58" s="42"/>
      <c r="D58" s="42"/>
      <c r="E58" s="42"/>
      <c r="F58" s="42"/>
      <c r="G58" s="42"/>
      <c r="H58" s="42"/>
      <c r="I58" s="42"/>
      <c r="J58" s="42"/>
      <c r="K58" s="42"/>
      <c r="L58" s="42"/>
      <c r="M58" s="42"/>
      <c r="R58" s="42"/>
      <c r="S58" s="42"/>
    </row>
    <row r="59" spans="3:19">
      <c r="C59" s="42"/>
      <c r="D59" s="42"/>
      <c r="E59" s="42"/>
      <c r="F59" s="42"/>
      <c r="G59" s="42"/>
      <c r="H59" s="42"/>
      <c r="I59" s="42"/>
      <c r="J59" s="42"/>
      <c r="K59" s="42"/>
      <c r="L59" s="42"/>
      <c r="M59" s="42"/>
      <c r="R59" s="42"/>
      <c r="S59" s="42"/>
    </row>
    <row r="60" spans="3:19">
      <c r="C60" s="42"/>
      <c r="D60" s="42"/>
      <c r="E60" s="42"/>
      <c r="F60" s="42"/>
      <c r="G60" s="42"/>
      <c r="H60" s="42"/>
      <c r="I60" s="42"/>
      <c r="J60" s="42"/>
      <c r="K60" s="42"/>
      <c r="L60" s="42"/>
      <c r="M60" s="42"/>
      <c r="R60" s="42"/>
      <c r="S60" s="42"/>
    </row>
    <row r="61" spans="3:19">
      <c r="C61" s="42"/>
      <c r="D61" s="42"/>
      <c r="E61" s="42"/>
      <c r="F61" s="42"/>
      <c r="G61" s="42"/>
      <c r="H61" s="42"/>
      <c r="I61" s="42"/>
      <c r="J61" s="42"/>
      <c r="K61" s="42"/>
      <c r="L61" s="42"/>
      <c r="M61" s="42"/>
      <c r="R61" s="42"/>
      <c r="S61" s="42"/>
    </row>
    <row r="62" spans="3:19">
      <c r="C62" s="42"/>
      <c r="D62" s="42"/>
      <c r="E62" s="42"/>
      <c r="F62" s="42"/>
      <c r="G62" s="42"/>
      <c r="H62" s="42"/>
      <c r="I62" s="42"/>
      <c r="J62" s="42"/>
      <c r="K62" s="42"/>
      <c r="L62" s="42"/>
      <c r="M62" s="42"/>
      <c r="R62" s="42"/>
      <c r="S62" s="42"/>
    </row>
    <row r="63" spans="3:19">
      <c r="C63" s="42"/>
      <c r="D63" s="42"/>
      <c r="E63" s="42"/>
      <c r="F63" s="42"/>
      <c r="G63" s="42"/>
      <c r="H63" s="42"/>
      <c r="I63" s="42"/>
      <c r="J63" s="42"/>
      <c r="K63" s="42"/>
      <c r="L63" s="42"/>
      <c r="M63" s="42"/>
      <c r="R63" s="42"/>
      <c r="S63" s="42"/>
    </row>
    <row r="64" spans="3:19">
      <c r="C64" s="42"/>
      <c r="D64" s="42"/>
      <c r="E64" s="42"/>
      <c r="F64" s="42"/>
      <c r="G64" s="42"/>
      <c r="H64" s="42"/>
      <c r="I64" s="42"/>
      <c r="J64" s="42"/>
      <c r="K64" s="42"/>
      <c r="L64" s="42"/>
      <c r="M64" s="42"/>
      <c r="R64" s="42"/>
      <c r="S64" s="42"/>
    </row>
    <row r="65" spans="3:19">
      <c r="C65" s="42"/>
      <c r="D65" s="42"/>
      <c r="E65" s="42"/>
      <c r="F65" s="42"/>
      <c r="G65" s="42"/>
      <c r="H65" s="42"/>
      <c r="I65" s="42"/>
      <c r="J65" s="42"/>
      <c r="K65" s="42"/>
      <c r="L65" s="42"/>
      <c r="M65" s="42"/>
      <c r="R65" s="42"/>
      <c r="S65" s="42"/>
    </row>
    <row r="66" spans="3:19">
      <c r="C66" s="42"/>
      <c r="D66" s="42"/>
      <c r="E66" s="42"/>
      <c r="F66" s="42"/>
      <c r="G66" s="42"/>
      <c r="H66" s="42"/>
      <c r="I66" s="42"/>
      <c r="J66" s="42"/>
      <c r="K66" s="42"/>
      <c r="L66" s="42"/>
      <c r="M66" s="42"/>
      <c r="R66" s="42"/>
      <c r="S66" s="42"/>
    </row>
    <row r="67" spans="3:19">
      <c r="C67" s="42"/>
      <c r="D67" s="42"/>
      <c r="E67" s="42"/>
      <c r="F67" s="42"/>
      <c r="G67" s="42"/>
      <c r="H67" s="42"/>
      <c r="I67" s="42"/>
      <c r="J67" s="42"/>
      <c r="K67" s="42"/>
      <c r="L67" s="42"/>
      <c r="M67" s="42"/>
      <c r="R67" s="42"/>
      <c r="S67" s="42"/>
    </row>
  </sheetData>
  <hyperlinks>
    <hyperlink ref="M6" r:id="rId1"/>
    <hyperlink ref="M10" r:id="rId2"/>
    <hyperlink ref="M14" r:id="rId3"/>
    <hyperlink ref="M22" r:id="rId4"/>
    <hyperlink ref="K5" r:id="rId5"/>
    <hyperlink ref="K6" r:id="rId6"/>
    <hyperlink ref="K8" r:id="rId7"/>
    <hyperlink ref="K10" r:id="rId8"/>
    <hyperlink ref="K18" r:id="rId9"/>
    <hyperlink ref="K15" r:id="rId10"/>
  </hyperlinks>
  <pageMargins left="0.7" right="0.7" top="0.75" bottom="0.75" header="0.3" footer="0.3"/>
  <pageSetup paperSize="9" orientation="portrait" r:id="rId11"/>
  <tableParts count="1">
    <tablePart r:id="rId1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499984740745262"/>
  </sheetPr>
  <dimension ref="A1:S133"/>
  <sheetViews>
    <sheetView workbookViewId="0"/>
  </sheetViews>
  <sheetFormatPr baseColWidth="10" defaultColWidth="10.5703125" defaultRowHeight="15"/>
  <cols>
    <col min="1" max="1" width="16.5703125" style="8" customWidth="1"/>
    <col min="2" max="2" width="5" style="1" customWidth="1"/>
    <col min="3" max="3" width="12.5703125" style="1" customWidth="1"/>
    <col min="4" max="4" width="13.42578125" style="1" customWidth="1"/>
    <col min="5" max="5" width="11.140625" style="1" customWidth="1"/>
    <col min="7" max="7" width="16.42578125" style="1" customWidth="1"/>
    <col min="8" max="8" width="22.5703125" style="1" customWidth="1"/>
    <col min="9" max="9" width="17.42578125" style="1" customWidth="1"/>
    <col min="10" max="10" width="12.42578125" style="1" customWidth="1"/>
    <col min="11" max="11" width="25.42578125" style="1" customWidth="1"/>
    <col min="12" max="12" width="18.85546875" style="1" customWidth="1"/>
    <col min="13" max="13" width="25.42578125" style="1" customWidth="1"/>
    <col min="15" max="15" width="28.42578125" customWidth="1"/>
    <col min="16" max="16" width="15.42578125" customWidth="1"/>
    <col min="17" max="17" width="29.42578125" style="1" customWidth="1"/>
    <col min="18" max="18" width="22.42578125" style="1" customWidth="1"/>
    <col min="19" max="19" width="53.140625" style="1" customWidth="1"/>
    <col min="20" max="16384" width="10.5703125" style="1"/>
  </cols>
  <sheetData>
    <row r="1" spans="1:16" ht="11.1" customHeight="1">
      <c r="F1" s="1"/>
      <c r="N1" s="1"/>
      <c r="O1" s="1"/>
      <c r="P1" s="1"/>
    </row>
    <row r="2" spans="1:16" ht="20.100000000000001" customHeight="1">
      <c r="C2" s="54" t="s">
        <v>879</v>
      </c>
      <c r="D2" s="54"/>
      <c r="E2" s="54"/>
      <c r="F2" s="54"/>
      <c r="G2" s="54"/>
      <c r="H2" s="54"/>
      <c r="I2" s="54"/>
      <c r="J2" s="54"/>
      <c r="K2" s="54"/>
      <c r="L2" s="54"/>
      <c r="M2" s="54"/>
      <c r="N2" s="54"/>
      <c r="O2" s="1"/>
      <c r="P2" s="1"/>
    </row>
    <row r="3" spans="1:16">
      <c r="F3" s="1"/>
      <c r="N3" s="1"/>
      <c r="O3" s="1"/>
      <c r="P3" s="1"/>
    </row>
    <row r="4" spans="1:16" ht="30">
      <c r="A4" s="9"/>
      <c r="C4" s="24" t="s">
        <v>17</v>
      </c>
      <c r="D4" s="23" t="s">
        <v>778</v>
      </c>
      <c r="E4" s="23" t="s">
        <v>19</v>
      </c>
      <c r="F4" s="23" t="s">
        <v>880</v>
      </c>
      <c r="G4" s="22" t="s">
        <v>21</v>
      </c>
      <c r="H4" s="22" t="s">
        <v>22</v>
      </c>
      <c r="I4" s="23" t="s">
        <v>779</v>
      </c>
      <c r="J4" s="24" t="s">
        <v>780</v>
      </c>
      <c r="K4" s="23" t="s">
        <v>24</v>
      </c>
      <c r="L4" s="23" t="s">
        <v>881</v>
      </c>
      <c r="M4" s="23" t="s">
        <v>782</v>
      </c>
      <c r="N4" s="23" t="s">
        <v>224</v>
      </c>
      <c r="O4" s="23" t="s">
        <v>28</v>
      </c>
      <c r="P4" s="1"/>
    </row>
    <row r="5" spans="1:16" ht="105">
      <c r="C5" s="28" t="s">
        <v>57</v>
      </c>
      <c r="D5" s="26" t="s">
        <v>785</v>
      </c>
      <c r="E5" s="26" t="s">
        <v>147</v>
      </c>
      <c r="F5" s="28" t="s">
        <v>882</v>
      </c>
      <c r="G5" s="26" t="s">
        <v>589</v>
      </c>
      <c r="H5" s="26" t="s">
        <v>651</v>
      </c>
      <c r="I5" s="28" t="s">
        <v>787</v>
      </c>
      <c r="J5" s="32" t="s">
        <v>224</v>
      </c>
      <c r="K5" s="33" t="s">
        <v>392</v>
      </c>
      <c r="L5" s="26" t="s">
        <v>652</v>
      </c>
      <c r="M5" s="33" t="s">
        <v>394</v>
      </c>
      <c r="N5" s="28" t="s">
        <v>788</v>
      </c>
      <c r="O5" s="55" t="s">
        <v>653</v>
      </c>
      <c r="P5" s="1"/>
    </row>
    <row r="6" spans="1:16" ht="165">
      <c r="C6" s="26" t="s">
        <v>83</v>
      </c>
      <c r="D6" s="26" t="s">
        <v>791</v>
      </c>
      <c r="E6" s="26" t="s">
        <v>195</v>
      </c>
      <c r="F6" s="26" t="s">
        <v>882</v>
      </c>
      <c r="G6" s="26" t="s">
        <v>589</v>
      </c>
      <c r="H6" s="26" t="s">
        <v>305</v>
      </c>
      <c r="I6" s="26" t="s">
        <v>787</v>
      </c>
      <c r="J6" s="29" t="s">
        <v>224</v>
      </c>
      <c r="K6" s="33" t="s">
        <v>306</v>
      </c>
      <c r="L6" s="26" t="s">
        <v>605</v>
      </c>
      <c r="M6" s="33" t="s">
        <v>308</v>
      </c>
      <c r="N6" s="26" t="s">
        <v>788</v>
      </c>
      <c r="O6" s="56" t="s">
        <v>606</v>
      </c>
      <c r="P6" s="1"/>
    </row>
    <row r="7" spans="1:16" ht="60">
      <c r="C7" s="26" t="s">
        <v>29</v>
      </c>
      <c r="D7" s="26" t="s">
        <v>30</v>
      </c>
      <c r="E7" s="26" t="s">
        <v>331</v>
      </c>
      <c r="F7" s="26" t="s">
        <v>882</v>
      </c>
      <c r="G7" s="26" t="s">
        <v>589</v>
      </c>
      <c r="H7" s="26" t="s">
        <v>333</v>
      </c>
      <c r="I7" s="26" t="s">
        <v>787</v>
      </c>
      <c r="J7" s="29" t="s">
        <v>224</v>
      </c>
      <c r="K7" s="33" t="s">
        <v>883</v>
      </c>
      <c r="L7" s="26" t="s">
        <v>335</v>
      </c>
      <c r="M7" s="34"/>
      <c r="N7" s="26" t="s">
        <v>788</v>
      </c>
      <c r="O7" s="56" t="s">
        <v>617</v>
      </c>
      <c r="P7" s="1"/>
    </row>
    <row r="8" spans="1:16" ht="60">
      <c r="C8" s="26" t="s">
        <v>29</v>
      </c>
      <c r="D8" s="26" t="s">
        <v>866</v>
      </c>
      <c r="E8" s="26" t="s">
        <v>310</v>
      </c>
      <c r="F8" s="26" t="s">
        <v>882</v>
      </c>
      <c r="G8" s="26" t="s">
        <v>589</v>
      </c>
      <c r="H8" s="26" t="s">
        <v>800</v>
      </c>
      <c r="I8" s="26" t="s">
        <v>787</v>
      </c>
      <c r="J8" s="29" t="s">
        <v>224</v>
      </c>
      <c r="K8" s="33" t="s">
        <v>801</v>
      </c>
      <c r="L8" s="26" t="s">
        <v>314</v>
      </c>
      <c r="M8" s="34"/>
      <c r="N8" s="26" t="s">
        <v>788</v>
      </c>
      <c r="O8" s="56" t="s">
        <v>607</v>
      </c>
      <c r="P8" s="1"/>
    </row>
    <row r="9" spans="1:16" ht="60">
      <c r="C9" s="26" t="s">
        <v>49</v>
      </c>
      <c r="D9" s="26" t="s">
        <v>867</v>
      </c>
      <c r="E9" s="26" t="s">
        <v>358</v>
      </c>
      <c r="F9" s="26" t="s">
        <v>882</v>
      </c>
      <c r="G9" s="26" t="s">
        <v>589</v>
      </c>
      <c r="H9" s="26" t="s">
        <v>360</v>
      </c>
      <c r="I9" s="26" t="s">
        <v>787</v>
      </c>
      <c r="J9" s="29" t="s">
        <v>224</v>
      </c>
      <c r="K9" s="33" t="s">
        <v>361</v>
      </c>
      <c r="L9" s="26" t="s">
        <v>362</v>
      </c>
      <c r="M9" s="33" t="s">
        <v>363</v>
      </c>
      <c r="N9" s="26" t="s">
        <v>788</v>
      </c>
      <c r="O9" s="56" t="s">
        <v>655</v>
      </c>
      <c r="P9" s="1"/>
    </row>
    <row r="10" spans="1:16" ht="270">
      <c r="C10" s="26" t="s">
        <v>29</v>
      </c>
      <c r="D10" s="26" t="s">
        <v>199</v>
      </c>
      <c r="E10" s="26" t="s">
        <v>200</v>
      </c>
      <c r="F10" s="26" t="s">
        <v>882</v>
      </c>
      <c r="G10" s="26" t="s">
        <v>589</v>
      </c>
      <c r="H10" s="26" t="s">
        <v>323</v>
      </c>
      <c r="I10" s="26" t="s">
        <v>787</v>
      </c>
      <c r="J10" s="29" t="s">
        <v>224</v>
      </c>
      <c r="K10" s="33" t="s">
        <v>324</v>
      </c>
      <c r="L10" s="26" t="s">
        <v>610</v>
      </c>
      <c r="M10" s="33" t="s">
        <v>325</v>
      </c>
      <c r="N10" s="26" t="s">
        <v>788</v>
      </c>
      <c r="O10" s="26" t="s">
        <v>611</v>
      </c>
      <c r="P10" s="1"/>
    </row>
    <row r="11" spans="1:16" ht="60">
      <c r="C11" s="26" t="s">
        <v>29</v>
      </c>
      <c r="D11" s="26" t="s">
        <v>884</v>
      </c>
      <c r="E11" s="26" t="s">
        <v>95</v>
      </c>
      <c r="F11" s="26" t="s">
        <v>885</v>
      </c>
      <c r="G11" s="26" t="s">
        <v>589</v>
      </c>
      <c r="H11" s="26" t="s">
        <v>281</v>
      </c>
      <c r="I11" s="26" t="s">
        <v>787</v>
      </c>
      <c r="J11" s="29" t="s">
        <v>224</v>
      </c>
      <c r="K11" s="33" t="s">
        <v>282</v>
      </c>
      <c r="L11" s="26" t="s">
        <v>594</v>
      </c>
      <c r="M11" s="34"/>
      <c r="N11" s="26" t="s">
        <v>788</v>
      </c>
      <c r="O11" s="56" t="s">
        <v>595</v>
      </c>
      <c r="P11" s="1"/>
    </row>
    <row r="12" spans="1:16" ht="135">
      <c r="C12" s="26" t="s">
        <v>812</v>
      </c>
      <c r="D12" s="26" t="s">
        <v>630</v>
      </c>
      <c r="E12" s="26" t="s">
        <v>631</v>
      </c>
      <c r="F12" s="26" t="s">
        <v>882</v>
      </c>
      <c r="G12" s="26" t="s">
        <v>589</v>
      </c>
      <c r="H12" s="26" t="s">
        <v>632</v>
      </c>
      <c r="I12" s="26" t="s">
        <v>814</v>
      </c>
      <c r="J12" s="29" t="s">
        <v>224</v>
      </c>
      <c r="K12" s="33" t="s">
        <v>633</v>
      </c>
      <c r="L12" s="26" t="s">
        <v>628</v>
      </c>
      <c r="M12" s="33" t="s">
        <v>634</v>
      </c>
      <c r="N12" s="26" t="s">
        <v>788</v>
      </c>
      <c r="O12" s="56" t="s">
        <v>635</v>
      </c>
      <c r="P12" s="1"/>
    </row>
    <row r="13" spans="1:16" ht="75">
      <c r="C13" s="26" t="s">
        <v>49</v>
      </c>
      <c r="D13" s="26" t="s">
        <v>868</v>
      </c>
      <c r="E13" s="26" t="s">
        <v>612</v>
      </c>
      <c r="F13" s="26" t="s">
        <v>882</v>
      </c>
      <c r="G13" s="26" t="s">
        <v>589</v>
      </c>
      <c r="H13" s="26" t="s">
        <v>613</v>
      </c>
      <c r="I13" s="26" t="s">
        <v>787</v>
      </c>
      <c r="J13" s="29" t="s">
        <v>224</v>
      </c>
      <c r="K13" s="33" t="s">
        <v>367</v>
      </c>
      <c r="L13" s="26" t="s">
        <v>614</v>
      </c>
      <c r="M13" s="33" t="s">
        <v>368</v>
      </c>
      <c r="N13" s="26" t="s">
        <v>788</v>
      </c>
      <c r="O13" s="56" t="s">
        <v>886</v>
      </c>
      <c r="P13" s="1"/>
    </row>
    <row r="14" spans="1:16" ht="75">
      <c r="C14" s="26" t="s">
        <v>69</v>
      </c>
      <c r="D14" s="26" t="s">
        <v>70</v>
      </c>
      <c r="E14" s="26" t="s">
        <v>316</v>
      </c>
      <c r="F14" s="26" t="s">
        <v>882</v>
      </c>
      <c r="G14" s="26" t="s">
        <v>589</v>
      </c>
      <c r="H14" s="26" t="s">
        <v>318</v>
      </c>
      <c r="I14" s="26" t="s">
        <v>787</v>
      </c>
      <c r="J14" s="29" t="s">
        <v>224</v>
      </c>
      <c r="K14" s="33" t="s">
        <v>319</v>
      </c>
      <c r="L14" s="26" t="s">
        <v>320</v>
      </c>
      <c r="M14" s="33" t="s">
        <v>321</v>
      </c>
      <c r="N14" s="26" t="s">
        <v>788</v>
      </c>
      <c r="O14" s="56" t="s">
        <v>609</v>
      </c>
      <c r="P14" s="1"/>
    </row>
    <row r="15" spans="1:16" ht="165">
      <c r="C15" s="26" t="s">
        <v>76</v>
      </c>
      <c r="D15" s="26" t="s">
        <v>887</v>
      </c>
      <c r="E15" s="26" t="s">
        <v>273</v>
      </c>
      <c r="F15" s="26" t="s">
        <v>882</v>
      </c>
      <c r="G15" s="26" t="s">
        <v>589</v>
      </c>
      <c r="H15" s="26" t="s">
        <v>275</v>
      </c>
      <c r="I15" s="26" t="s">
        <v>787</v>
      </c>
      <c r="J15" s="29" t="s">
        <v>224</v>
      </c>
      <c r="K15" s="33" t="s">
        <v>276</v>
      </c>
      <c r="L15" s="26" t="s">
        <v>277</v>
      </c>
      <c r="M15" s="33" t="s">
        <v>278</v>
      </c>
      <c r="N15" s="26" t="s">
        <v>788</v>
      </c>
      <c r="O15" s="56" t="s">
        <v>592</v>
      </c>
      <c r="P15" s="1"/>
    </row>
    <row r="16" spans="1:16" ht="90">
      <c r="C16" s="26" t="s">
        <v>49</v>
      </c>
      <c r="D16" s="26" t="s">
        <v>816</v>
      </c>
      <c r="E16" s="26" t="s">
        <v>612</v>
      </c>
      <c r="F16" s="26" t="s">
        <v>882</v>
      </c>
      <c r="G16" s="26" t="s">
        <v>589</v>
      </c>
      <c r="H16" s="26" t="s">
        <v>826</v>
      </c>
      <c r="I16" s="26" t="s">
        <v>787</v>
      </c>
      <c r="J16" s="29" t="s">
        <v>224</v>
      </c>
      <c r="K16" s="33" t="s">
        <v>367</v>
      </c>
      <c r="L16" s="26" t="s">
        <v>888</v>
      </c>
      <c r="M16" s="33" t="s">
        <v>368</v>
      </c>
      <c r="N16" s="26" t="s">
        <v>788</v>
      </c>
      <c r="O16" s="56" t="s">
        <v>889</v>
      </c>
      <c r="P16" s="1"/>
    </row>
    <row r="17" spans="3:19" ht="105">
      <c r="C17" s="26" t="s">
        <v>29</v>
      </c>
      <c r="D17" s="26" t="s">
        <v>866</v>
      </c>
      <c r="E17" s="26" t="s">
        <v>310</v>
      </c>
      <c r="F17" s="26" t="s">
        <v>882</v>
      </c>
      <c r="G17" s="26" t="s">
        <v>589</v>
      </c>
      <c r="H17" s="26" t="s">
        <v>833</v>
      </c>
      <c r="I17" s="26" t="s">
        <v>787</v>
      </c>
      <c r="J17" s="29" t="s">
        <v>224</v>
      </c>
      <c r="K17" s="33" t="s">
        <v>890</v>
      </c>
      <c r="L17" s="26" t="s">
        <v>314</v>
      </c>
      <c r="M17" s="34"/>
      <c r="N17" s="26" t="s">
        <v>788</v>
      </c>
      <c r="O17" s="56" t="s">
        <v>891</v>
      </c>
      <c r="P17" s="1"/>
    </row>
    <row r="18" spans="3:19" ht="75">
      <c r="C18" s="26" t="s">
        <v>49</v>
      </c>
      <c r="D18" s="26" t="s">
        <v>868</v>
      </c>
      <c r="E18" s="26" t="s">
        <v>612</v>
      </c>
      <c r="F18" s="26" t="s">
        <v>882</v>
      </c>
      <c r="G18" s="26" t="s">
        <v>589</v>
      </c>
      <c r="H18" s="26" t="s">
        <v>836</v>
      </c>
      <c r="I18" s="26" t="s">
        <v>787</v>
      </c>
      <c r="J18" s="29" t="s">
        <v>224</v>
      </c>
      <c r="K18" s="33" t="s">
        <v>367</v>
      </c>
      <c r="L18" s="26" t="s">
        <v>375</v>
      </c>
      <c r="M18" s="33" t="s">
        <v>368</v>
      </c>
      <c r="N18" s="26" t="s">
        <v>788</v>
      </c>
      <c r="O18" s="56" t="s">
        <v>615</v>
      </c>
      <c r="P18" s="1"/>
    </row>
    <row r="19" spans="3:19" ht="135">
      <c r="C19" s="26" t="s">
        <v>69</v>
      </c>
      <c r="D19" s="26" t="s">
        <v>892</v>
      </c>
      <c r="E19" s="26" t="s">
        <v>293</v>
      </c>
      <c r="F19" s="26" t="s">
        <v>882</v>
      </c>
      <c r="G19" s="26" t="s">
        <v>589</v>
      </c>
      <c r="H19" s="26" t="s">
        <v>599</v>
      </c>
      <c r="I19" s="26" t="s">
        <v>787</v>
      </c>
      <c r="J19" s="29" t="s">
        <v>224</v>
      </c>
      <c r="K19" s="33" t="s">
        <v>296</v>
      </c>
      <c r="L19" s="26" t="s">
        <v>893</v>
      </c>
      <c r="M19" s="34"/>
      <c r="N19" s="26" t="s">
        <v>788</v>
      </c>
      <c r="O19" s="56" t="s">
        <v>601</v>
      </c>
      <c r="P19" s="1"/>
    </row>
    <row r="20" spans="3:19" ht="75">
      <c r="C20" s="26" t="s">
        <v>69</v>
      </c>
      <c r="D20" s="26" t="s">
        <v>894</v>
      </c>
      <c r="E20" s="26" t="s">
        <v>161</v>
      </c>
      <c r="F20" s="26" t="s">
        <v>882</v>
      </c>
      <c r="G20" s="26" t="s">
        <v>589</v>
      </c>
      <c r="H20" s="26" t="s">
        <v>287</v>
      </c>
      <c r="I20" s="26" t="s">
        <v>787</v>
      </c>
      <c r="J20" s="29" t="s">
        <v>224</v>
      </c>
      <c r="K20" s="33" t="s">
        <v>288</v>
      </c>
      <c r="L20" s="26" t="s">
        <v>289</v>
      </c>
      <c r="M20" s="33" t="s">
        <v>290</v>
      </c>
      <c r="N20" s="26" t="s">
        <v>788</v>
      </c>
      <c r="O20" s="56" t="s">
        <v>597</v>
      </c>
      <c r="P20" s="1"/>
    </row>
    <row r="21" spans="3:19" ht="105">
      <c r="C21" s="26" t="s">
        <v>844</v>
      </c>
      <c r="D21" s="26" t="s">
        <v>186</v>
      </c>
      <c r="E21" s="26" t="s">
        <v>187</v>
      </c>
      <c r="F21" s="26" t="s">
        <v>882</v>
      </c>
      <c r="G21" s="26" t="s">
        <v>589</v>
      </c>
      <c r="H21" s="26" t="s">
        <v>344</v>
      </c>
      <c r="I21" s="26" t="s">
        <v>787</v>
      </c>
      <c r="J21" s="29" t="s">
        <v>224</v>
      </c>
      <c r="K21" s="33" t="s">
        <v>345</v>
      </c>
      <c r="L21" s="26" t="s">
        <v>645</v>
      </c>
      <c r="M21" s="33" t="s">
        <v>347</v>
      </c>
      <c r="N21" s="26" t="s">
        <v>788</v>
      </c>
      <c r="O21" s="56" t="s">
        <v>646</v>
      </c>
      <c r="P21" s="1"/>
    </row>
    <row r="22" spans="3:19" ht="75">
      <c r="C22" s="26" t="s">
        <v>29</v>
      </c>
      <c r="D22" s="26" t="s">
        <v>872</v>
      </c>
      <c r="E22" s="26" t="s">
        <v>873</v>
      </c>
      <c r="F22" s="26" t="s">
        <v>882</v>
      </c>
      <c r="G22" s="26" t="s">
        <v>589</v>
      </c>
      <c r="H22" s="26" t="s">
        <v>620</v>
      </c>
      <c r="I22" s="26" t="s">
        <v>787</v>
      </c>
      <c r="J22" s="29" t="s">
        <v>224</v>
      </c>
      <c r="K22" s="33" t="s">
        <v>621</v>
      </c>
      <c r="L22" s="26" t="s">
        <v>622</v>
      </c>
      <c r="M22" s="33" t="s">
        <v>623</v>
      </c>
      <c r="N22" s="26" t="s">
        <v>788</v>
      </c>
      <c r="O22" s="56" t="s">
        <v>624</v>
      </c>
      <c r="P22" s="1"/>
    </row>
    <row r="23" spans="3:19" ht="75">
      <c r="C23" s="26" t="s">
        <v>83</v>
      </c>
      <c r="D23" s="26" t="s">
        <v>875</v>
      </c>
      <c r="E23" s="26" t="s">
        <v>222</v>
      </c>
      <c r="F23" s="26" t="s">
        <v>882</v>
      </c>
      <c r="G23" s="26" t="s">
        <v>589</v>
      </c>
      <c r="H23" s="26" t="s">
        <v>626</v>
      </c>
      <c r="I23" s="26" t="s">
        <v>787</v>
      </c>
      <c r="J23" s="29" t="s">
        <v>224</v>
      </c>
      <c r="K23" s="33" t="s">
        <v>627</v>
      </c>
      <c r="L23" s="26" t="s">
        <v>628</v>
      </c>
      <c r="M23" s="34"/>
      <c r="N23" s="26" t="s">
        <v>788</v>
      </c>
      <c r="O23" s="56" t="s">
        <v>629</v>
      </c>
      <c r="P23" s="1"/>
    </row>
    <row r="24" spans="3:19" ht="210">
      <c r="C24" s="26" t="s">
        <v>76</v>
      </c>
      <c r="D24" s="26" t="s">
        <v>169</v>
      </c>
      <c r="E24" s="26" t="s">
        <v>78</v>
      </c>
      <c r="F24" s="26" t="s">
        <v>882</v>
      </c>
      <c r="G24" s="26" t="s">
        <v>589</v>
      </c>
      <c r="H24" s="26" t="s">
        <v>300</v>
      </c>
      <c r="I24" s="26" t="s">
        <v>787</v>
      </c>
      <c r="J24" s="29" t="s">
        <v>224</v>
      </c>
      <c r="K24" s="33" t="s">
        <v>301</v>
      </c>
      <c r="L24" s="26" t="s">
        <v>302</v>
      </c>
      <c r="M24" s="33" t="s">
        <v>303</v>
      </c>
      <c r="N24" s="26" t="s">
        <v>788</v>
      </c>
      <c r="O24" s="26" t="s">
        <v>603</v>
      </c>
      <c r="P24" s="1"/>
    </row>
    <row r="25" spans="3:19" ht="105">
      <c r="C25" s="26" t="s">
        <v>29</v>
      </c>
      <c r="D25" s="26" t="s">
        <v>895</v>
      </c>
      <c r="E25" s="26" t="s">
        <v>351</v>
      </c>
      <c r="F25" s="26" t="s">
        <v>882</v>
      </c>
      <c r="G25" s="26" t="s">
        <v>589</v>
      </c>
      <c r="H25" s="26" t="s">
        <v>353</v>
      </c>
      <c r="I25" s="26" t="s">
        <v>787</v>
      </c>
      <c r="J25" s="29" t="s">
        <v>34</v>
      </c>
      <c r="K25" s="33" t="s">
        <v>354</v>
      </c>
      <c r="L25" s="26" t="s">
        <v>355</v>
      </c>
      <c r="M25" s="33" t="s">
        <v>356</v>
      </c>
      <c r="N25" s="26" t="s">
        <v>788</v>
      </c>
      <c r="O25" s="56" t="s">
        <v>654</v>
      </c>
      <c r="P25" s="1"/>
    </row>
    <row r="26" spans="3:19" ht="90">
      <c r="C26" s="26" t="s">
        <v>851</v>
      </c>
      <c r="D26" s="26" t="s">
        <v>586</v>
      </c>
      <c r="E26" s="26" t="s">
        <v>587</v>
      </c>
      <c r="F26" s="26" t="s">
        <v>882</v>
      </c>
      <c r="G26" s="26" t="s">
        <v>589</v>
      </c>
      <c r="H26" s="26" t="s">
        <v>256</v>
      </c>
      <c r="I26" s="26" t="s">
        <v>814</v>
      </c>
      <c r="J26" s="29" t="s">
        <v>34</v>
      </c>
      <c r="K26" s="33" t="s">
        <v>257</v>
      </c>
      <c r="L26" s="26" t="s">
        <v>258</v>
      </c>
      <c r="M26" s="33" t="s">
        <v>259</v>
      </c>
      <c r="N26" s="26" t="s">
        <v>788</v>
      </c>
      <c r="O26" s="56" t="s">
        <v>590</v>
      </c>
      <c r="P26" s="1"/>
    </row>
    <row r="27" spans="3:19" ht="195">
      <c r="C27" s="26" t="s">
        <v>101</v>
      </c>
      <c r="D27" s="26" t="s">
        <v>638</v>
      </c>
      <c r="E27" s="26" t="s">
        <v>138</v>
      </c>
      <c r="F27" s="26" t="s">
        <v>882</v>
      </c>
      <c r="G27" s="26" t="s">
        <v>589</v>
      </c>
      <c r="H27" s="26" t="s">
        <v>639</v>
      </c>
      <c r="I27" s="26" t="s">
        <v>787</v>
      </c>
      <c r="J27" s="29" t="s">
        <v>224</v>
      </c>
      <c r="K27" s="33" t="s">
        <v>640</v>
      </c>
      <c r="L27" s="26" t="s">
        <v>641</v>
      </c>
      <c r="M27" s="33" t="s">
        <v>642</v>
      </c>
      <c r="N27" s="26" t="s">
        <v>788</v>
      </c>
      <c r="O27" s="56" t="s">
        <v>643</v>
      </c>
      <c r="P27" s="1"/>
    </row>
    <row r="28" spans="3:19" ht="135">
      <c r="C28" s="29" t="s">
        <v>855</v>
      </c>
      <c r="D28" s="26" t="s">
        <v>798</v>
      </c>
      <c r="E28" s="26" t="s">
        <v>856</v>
      </c>
      <c r="F28" s="26" t="s">
        <v>882</v>
      </c>
      <c r="G28" s="26" t="s">
        <v>589</v>
      </c>
      <c r="H28" s="26" t="s">
        <v>710</v>
      </c>
      <c r="I28" s="26" t="s">
        <v>787</v>
      </c>
      <c r="J28" s="29" t="s">
        <v>224</v>
      </c>
      <c r="K28" s="33" t="s">
        <v>801</v>
      </c>
      <c r="L28" s="26" t="s">
        <v>314</v>
      </c>
      <c r="M28" s="34"/>
      <c r="N28" s="26" t="s">
        <v>788</v>
      </c>
      <c r="O28" s="56" t="s">
        <v>896</v>
      </c>
      <c r="P28" s="1"/>
    </row>
    <row r="29" spans="3:19" ht="135">
      <c r="C29" s="31" t="s">
        <v>101</v>
      </c>
      <c r="D29" s="30" t="s">
        <v>897</v>
      </c>
      <c r="E29" s="30" t="s">
        <v>228</v>
      </c>
      <c r="F29" s="30" t="s">
        <v>882</v>
      </c>
      <c r="G29" s="30" t="s">
        <v>589</v>
      </c>
      <c r="H29" s="30" t="s">
        <v>349</v>
      </c>
      <c r="I29" s="30" t="s">
        <v>787</v>
      </c>
      <c r="J29" s="31" t="s">
        <v>224</v>
      </c>
      <c r="K29" s="35" t="s">
        <v>231</v>
      </c>
      <c r="L29" s="30" t="s">
        <v>648</v>
      </c>
      <c r="M29" s="36"/>
      <c r="N29" s="30" t="s">
        <v>898</v>
      </c>
      <c r="O29" s="57" t="s">
        <v>649</v>
      </c>
      <c r="P29" s="1"/>
    </row>
    <row r="30" spans="3:19" ht="150">
      <c r="C30" s="30" t="s">
        <v>69</v>
      </c>
      <c r="D30" s="30" t="s">
        <v>160</v>
      </c>
      <c r="E30" s="30">
        <v>89011</v>
      </c>
      <c r="F30" s="30" t="s">
        <v>337</v>
      </c>
      <c r="G30" s="50" t="s">
        <v>589</v>
      </c>
      <c r="H30" s="30" t="s">
        <v>338</v>
      </c>
      <c r="I30" s="30" t="s">
        <v>787</v>
      </c>
      <c r="J30" s="31" t="s">
        <v>224</v>
      </c>
      <c r="K30" s="40" t="s">
        <v>339</v>
      </c>
      <c r="L30" s="30" t="s">
        <v>636</v>
      </c>
      <c r="M30" s="40" t="s">
        <v>341</v>
      </c>
      <c r="N30" s="26" t="s">
        <v>788</v>
      </c>
      <c r="O30" s="58" t="s">
        <v>637</v>
      </c>
      <c r="P30" s="42"/>
      <c r="Q30" s="42"/>
      <c r="R30" s="42"/>
      <c r="S30" s="42"/>
    </row>
    <row r="31" spans="3:19">
      <c r="C31" s="42"/>
      <c r="D31" s="42"/>
      <c r="E31" s="42"/>
      <c r="F31" s="42"/>
      <c r="G31" s="42"/>
      <c r="H31" s="42"/>
      <c r="I31" s="42"/>
      <c r="J31" s="42"/>
      <c r="K31" s="42"/>
      <c r="L31" s="42"/>
      <c r="M31" s="42"/>
      <c r="N31" s="42"/>
      <c r="O31" s="42"/>
      <c r="P31" s="42"/>
      <c r="Q31" s="42"/>
      <c r="R31" s="42"/>
      <c r="S31" s="42"/>
    </row>
    <row r="32" spans="3:19">
      <c r="C32" s="42"/>
      <c r="D32" s="42"/>
      <c r="E32" s="42"/>
      <c r="F32" s="42"/>
      <c r="G32" s="42"/>
      <c r="H32" s="42"/>
      <c r="I32" s="42"/>
      <c r="J32" s="42"/>
      <c r="K32" s="42"/>
      <c r="L32" s="42"/>
      <c r="M32" s="42"/>
      <c r="N32" s="42"/>
      <c r="O32" s="42"/>
      <c r="P32" s="42"/>
      <c r="Q32" s="42"/>
      <c r="R32" s="42"/>
      <c r="S32" s="42"/>
    </row>
    <row r="33" spans="3:19">
      <c r="C33" s="42"/>
      <c r="D33" s="42"/>
      <c r="E33" s="42"/>
      <c r="F33" s="42"/>
      <c r="G33" s="42"/>
      <c r="H33" s="42"/>
      <c r="I33" s="42"/>
      <c r="J33" s="42"/>
      <c r="K33" s="42"/>
      <c r="L33" s="42"/>
      <c r="M33" s="42"/>
      <c r="N33" s="42"/>
      <c r="O33" s="42"/>
      <c r="P33" s="42"/>
      <c r="Q33" s="42"/>
      <c r="R33" s="42"/>
      <c r="S33" s="42"/>
    </row>
    <row r="34" spans="3:19">
      <c r="C34" s="42"/>
      <c r="D34" s="42"/>
      <c r="E34" s="42"/>
      <c r="F34" s="42"/>
      <c r="G34" s="42"/>
      <c r="H34" s="42"/>
      <c r="I34" s="42"/>
      <c r="J34" s="42"/>
      <c r="K34" s="42"/>
      <c r="L34" s="42"/>
      <c r="M34" s="42"/>
      <c r="N34" s="42"/>
      <c r="O34" s="42"/>
      <c r="P34" s="42"/>
      <c r="Q34" s="42"/>
      <c r="R34" s="42"/>
      <c r="S34" s="42"/>
    </row>
    <row r="35" spans="3:19">
      <c r="C35" s="42"/>
      <c r="D35" s="42"/>
      <c r="E35" s="42"/>
      <c r="F35" s="42"/>
      <c r="G35" s="42"/>
      <c r="H35" s="42"/>
      <c r="I35" s="42"/>
      <c r="J35" s="42"/>
      <c r="K35" s="42"/>
      <c r="L35" s="42"/>
      <c r="M35" s="42"/>
      <c r="N35" s="42"/>
      <c r="O35" s="42"/>
      <c r="P35" s="42"/>
      <c r="Q35" s="42"/>
      <c r="R35" s="42"/>
      <c r="S35" s="42"/>
    </row>
    <row r="36" spans="3:19">
      <c r="C36" s="42"/>
      <c r="D36" s="42"/>
      <c r="E36" s="42"/>
      <c r="F36" s="42"/>
      <c r="G36" s="42"/>
      <c r="H36" s="42"/>
      <c r="I36" s="42"/>
      <c r="J36" s="42"/>
      <c r="K36" s="42"/>
      <c r="L36" s="42"/>
      <c r="M36" s="42"/>
      <c r="N36" s="42"/>
      <c r="O36" s="42"/>
      <c r="P36" s="42"/>
      <c r="Q36" s="42"/>
      <c r="R36" s="42"/>
      <c r="S36" s="42"/>
    </row>
    <row r="37" spans="3:19">
      <c r="C37" s="42"/>
      <c r="D37" s="42"/>
      <c r="E37" s="42"/>
      <c r="F37" s="42"/>
      <c r="G37" s="42"/>
      <c r="H37" s="42"/>
      <c r="I37" s="42"/>
      <c r="J37" s="42"/>
      <c r="K37" s="42"/>
      <c r="L37" s="42"/>
      <c r="M37" s="42"/>
      <c r="N37" s="42"/>
      <c r="O37" s="42"/>
      <c r="P37" s="42"/>
      <c r="Q37" s="42"/>
      <c r="R37" s="42"/>
      <c r="S37" s="42"/>
    </row>
    <row r="38" spans="3:19">
      <c r="C38" s="42"/>
      <c r="D38" s="42"/>
      <c r="E38" s="42"/>
      <c r="F38" s="42"/>
      <c r="G38" s="42"/>
      <c r="H38" s="42"/>
      <c r="I38" s="42"/>
      <c r="J38" s="42"/>
      <c r="K38" s="42"/>
      <c r="L38" s="42"/>
      <c r="M38" s="42"/>
      <c r="N38" s="42"/>
      <c r="O38" s="42"/>
      <c r="P38" s="42"/>
      <c r="Q38" s="42"/>
      <c r="R38" s="42"/>
      <c r="S38" s="42"/>
    </row>
    <row r="39" spans="3:19">
      <c r="C39" s="42"/>
      <c r="D39" s="42"/>
      <c r="E39" s="42"/>
      <c r="F39" s="42"/>
      <c r="G39" s="42"/>
      <c r="H39" s="42"/>
      <c r="I39" s="42"/>
      <c r="J39" s="42"/>
      <c r="K39" s="42"/>
      <c r="L39" s="42"/>
      <c r="M39" s="42"/>
      <c r="N39" s="42"/>
      <c r="O39" s="42"/>
      <c r="P39" s="42"/>
      <c r="Q39" s="42"/>
      <c r="R39" s="42"/>
      <c r="S39" s="42"/>
    </row>
    <row r="40" spans="3:19">
      <c r="C40" s="42"/>
      <c r="D40" s="42"/>
      <c r="E40" s="42"/>
      <c r="F40" s="42"/>
      <c r="G40" s="42"/>
      <c r="H40" s="42"/>
      <c r="I40" s="42"/>
      <c r="J40" s="42"/>
      <c r="K40" s="42"/>
      <c r="L40" s="42"/>
      <c r="M40" s="42"/>
      <c r="N40" s="42"/>
      <c r="O40" s="42"/>
      <c r="P40" s="42"/>
      <c r="Q40" s="42"/>
      <c r="R40" s="42"/>
      <c r="S40" s="42"/>
    </row>
    <row r="41" spans="3:19">
      <c r="C41" s="42"/>
      <c r="D41" s="42"/>
      <c r="E41" s="42"/>
      <c r="F41" s="42"/>
      <c r="G41" s="42"/>
      <c r="H41" s="42"/>
      <c r="I41" s="42"/>
      <c r="J41" s="42"/>
      <c r="K41" s="42"/>
      <c r="L41" s="42"/>
      <c r="M41" s="42"/>
      <c r="N41" s="42"/>
      <c r="O41" s="42"/>
      <c r="P41" s="42"/>
      <c r="Q41" s="42"/>
      <c r="R41" s="42"/>
      <c r="S41" s="42"/>
    </row>
    <row r="42" spans="3:19">
      <c r="C42" s="42"/>
      <c r="D42" s="42"/>
      <c r="E42" s="42"/>
      <c r="F42" s="42"/>
      <c r="G42" s="42"/>
      <c r="H42" s="42"/>
      <c r="I42" s="42"/>
      <c r="J42" s="42"/>
      <c r="K42" s="42"/>
      <c r="L42" s="42"/>
      <c r="M42" s="42"/>
      <c r="N42" s="42"/>
      <c r="O42" s="42"/>
      <c r="P42" s="42"/>
      <c r="Q42" s="42"/>
      <c r="R42" s="42"/>
      <c r="S42" s="42"/>
    </row>
    <row r="43" spans="3:19">
      <c r="C43" s="42"/>
      <c r="D43" s="42"/>
      <c r="E43" s="42"/>
      <c r="F43" s="42"/>
      <c r="G43" s="42"/>
      <c r="H43" s="42"/>
      <c r="I43" s="42"/>
      <c r="J43" s="42"/>
      <c r="K43" s="42"/>
      <c r="L43" s="42"/>
      <c r="M43" s="42"/>
      <c r="N43" s="42"/>
      <c r="O43" s="42"/>
      <c r="P43" s="42"/>
      <c r="Q43" s="42"/>
      <c r="R43" s="42"/>
      <c r="S43" s="42"/>
    </row>
    <row r="44" spans="3:19">
      <c r="C44" s="42"/>
      <c r="D44" s="42"/>
      <c r="E44" s="42"/>
      <c r="F44" s="42"/>
      <c r="G44" s="42"/>
      <c r="H44" s="42"/>
      <c r="I44" s="42"/>
      <c r="J44" s="42"/>
      <c r="K44" s="42"/>
      <c r="L44" s="42"/>
      <c r="M44" s="42"/>
      <c r="N44" s="42"/>
      <c r="O44" s="42"/>
      <c r="P44" s="42"/>
      <c r="Q44" s="42"/>
      <c r="R44" s="42"/>
      <c r="S44" s="42"/>
    </row>
    <row r="45" spans="3:19">
      <c r="C45" s="42"/>
      <c r="D45" s="42"/>
      <c r="E45" s="42"/>
      <c r="F45" s="42"/>
      <c r="G45" s="42"/>
      <c r="H45" s="42"/>
      <c r="I45" s="42"/>
      <c r="J45" s="42"/>
      <c r="K45" s="42"/>
      <c r="L45" s="42"/>
      <c r="M45" s="42"/>
      <c r="N45" s="42"/>
      <c r="O45" s="42"/>
      <c r="P45" s="42"/>
      <c r="Q45" s="42"/>
      <c r="R45" s="42"/>
      <c r="S45" s="42"/>
    </row>
    <row r="46" spans="3:19">
      <c r="C46" s="42"/>
      <c r="D46" s="42"/>
      <c r="E46" s="42"/>
      <c r="F46" s="42"/>
      <c r="G46" s="42"/>
      <c r="H46" s="42"/>
      <c r="I46" s="42"/>
      <c r="J46" s="42"/>
      <c r="K46" s="42"/>
      <c r="L46" s="42"/>
      <c r="M46" s="42"/>
      <c r="N46" s="42"/>
      <c r="O46" s="42"/>
      <c r="P46" s="42"/>
      <c r="Q46" s="42"/>
      <c r="R46" s="42"/>
      <c r="S46" s="42"/>
    </row>
    <row r="47" spans="3:19">
      <c r="C47" s="42"/>
      <c r="D47" s="42"/>
      <c r="E47" s="42"/>
      <c r="F47" s="42"/>
      <c r="G47" s="42"/>
      <c r="H47" s="42"/>
      <c r="I47" s="42"/>
      <c r="J47" s="42"/>
      <c r="K47" s="42"/>
      <c r="L47" s="42"/>
      <c r="M47" s="42"/>
      <c r="N47" s="42"/>
      <c r="O47" s="42"/>
      <c r="P47" s="42"/>
      <c r="Q47" s="42"/>
      <c r="R47" s="42"/>
      <c r="S47" s="42"/>
    </row>
    <row r="48" spans="3:19">
      <c r="C48" s="42"/>
      <c r="D48" s="42"/>
      <c r="E48" s="42"/>
      <c r="F48" s="42"/>
      <c r="G48" s="42"/>
      <c r="H48" s="42"/>
      <c r="I48" s="42"/>
      <c r="J48" s="42"/>
      <c r="K48" s="42"/>
      <c r="L48" s="42"/>
      <c r="M48" s="42"/>
      <c r="N48" s="42"/>
      <c r="O48" s="42"/>
      <c r="P48" s="42"/>
      <c r="Q48" s="42"/>
      <c r="R48" s="42"/>
      <c r="S48" s="42"/>
    </row>
    <row r="49" spans="3:19">
      <c r="C49" s="42"/>
      <c r="D49" s="42"/>
      <c r="E49" s="42"/>
      <c r="F49" s="42"/>
      <c r="G49" s="42"/>
      <c r="H49" s="42"/>
      <c r="I49" s="42"/>
      <c r="J49" s="42"/>
      <c r="K49" s="42"/>
      <c r="L49" s="42"/>
      <c r="M49" s="42"/>
      <c r="N49" s="42"/>
      <c r="O49" s="42"/>
      <c r="P49" s="42"/>
      <c r="Q49" s="42"/>
      <c r="R49" s="42"/>
      <c r="S49" s="42"/>
    </row>
    <row r="50" spans="3:19">
      <c r="C50" s="42"/>
      <c r="D50" s="42"/>
      <c r="E50" s="42"/>
      <c r="F50" s="42"/>
      <c r="G50" s="42"/>
      <c r="H50" s="42"/>
      <c r="I50" s="42"/>
      <c r="J50" s="42"/>
      <c r="K50" s="42"/>
      <c r="L50" s="42"/>
      <c r="M50" s="42"/>
      <c r="N50" s="42"/>
      <c r="O50" s="42"/>
      <c r="P50" s="42"/>
      <c r="Q50" s="42"/>
      <c r="R50" s="42"/>
      <c r="S50" s="42"/>
    </row>
    <row r="51" spans="3:19">
      <c r="C51" s="42"/>
      <c r="D51" s="42"/>
      <c r="E51" s="42"/>
      <c r="F51" s="42"/>
      <c r="G51" s="42"/>
      <c r="H51" s="42"/>
      <c r="I51" s="42"/>
      <c r="J51" s="42"/>
      <c r="K51" s="42"/>
      <c r="L51" s="42"/>
      <c r="M51" s="42"/>
      <c r="N51" s="42"/>
      <c r="O51" s="42"/>
      <c r="P51" s="42"/>
      <c r="Q51" s="42"/>
      <c r="R51" s="42"/>
      <c r="S51" s="42"/>
    </row>
    <row r="52" spans="3:19">
      <c r="C52" s="42"/>
      <c r="D52" s="42"/>
      <c r="E52" s="42"/>
      <c r="F52" s="42"/>
      <c r="G52" s="42"/>
      <c r="H52" s="42"/>
      <c r="I52" s="42"/>
      <c r="J52" s="42"/>
      <c r="K52" s="42"/>
      <c r="L52" s="42"/>
      <c r="M52" s="42"/>
      <c r="N52" s="42"/>
      <c r="O52" s="42"/>
      <c r="P52" s="42"/>
      <c r="Q52" s="42"/>
      <c r="R52" s="42"/>
      <c r="S52" s="42"/>
    </row>
    <row r="53" spans="3:19">
      <c r="C53" s="42"/>
      <c r="D53" s="42"/>
      <c r="E53" s="42"/>
      <c r="F53" s="42"/>
      <c r="G53" s="42"/>
      <c r="H53" s="42"/>
      <c r="I53" s="42"/>
      <c r="J53" s="42"/>
      <c r="K53" s="42"/>
      <c r="L53" s="42"/>
      <c r="M53" s="42"/>
      <c r="N53" s="42"/>
      <c r="O53" s="42"/>
      <c r="P53" s="42"/>
      <c r="Q53" s="42"/>
      <c r="R53" s="42"/>
      <c r="S53" s="42"/>
    </row>
    <row r="54" spans="3:19">
      <c r="C54" s="42"/>
      <c r="D54" s="42"/>
      <c r="E54" s="42"/>
      <c r="F54" s="42"/>
      <c r="G54" s="42"/>
      <c r="H54" s="42"/>
      <c r="I54" s="42"/>
      <c r="J54" s="42"/>
      <c r="K54" s="42"/>
      <c r="L54" s="42"/>
      <c r="M54" s="42"/>
      <c r="N54" s="42"/>
      <c r="O54" s="42"/>
      <c r="P54" s="42"/>
      <c r="Q54" s="42"/>
      <c r="R54" s="42"/>
      <c r="S54" s="42"/>
    </row>
    <row r="55" spans="3:19">
      <c r="C55" s="42"/>
      <c r="D55" s="42"/>
      <c r="E55" s="42"/>
      <c r="F55" s="42"/>
      <c r="G55" s="42"/>
      <c r="H55" s="42"/>
      <c r="I55" s="42"/>
      <c r="J55" s="42"/>
      <c r="K55" s="42"/>
      <c r="L55" s="42"/>
      <c r="M55" s="42"/>
      <c r="N55" s="42"/>
      <c r="O55" s="42"/>
      <c r="P55" s="42"/>
      <c r="Q55" s="42"/>
      <c r="R55" s="42"/>
      <c r="S55" s="42"/>
    </row>
    <row r="56" spans="3:19">
      <c r="C56" s="42"/>
      <c r="D56" s="42"/>
      <c r="E56" s="42"/>
      <c r="F56" s="42"/>
      <c r="G56" s="42"/>
      <c r="H56" s="42"/>
      <c r="I56" s="42"/>
      <c r="J56" s="42"/>
      <c r="K56" s="42"/>
      <c r="L56" s="42"/>
      <c r="M56" s="42"/>
      <c r="N56" s="42"/>
      <c r="O56" s="42"/>
      <c r="P56" s="42"/>
      <c r="Q56" s="42"/>
      <c r="R56" s="42"/>
      <c r="S56" s="42"/>
    </row>
    <row r="57" spans="3:19">
      <c r="C57" s="42"/>
      <c r="D57" s="42"/>
      <c r="E57" s="42"/>
      <c r="F57" s="42"/>
      <c r="G57" s="42"/>
      <c r="H57" s="42"/>
      <c r="I57" s="42"/>
      <c r="J57" s="42"/>
      <c r="K57" s="42"/>
      <c r="L57" s="42"/>
      <c r="M57" s="42"/>
      <c r="N57" s="42"/>
      <c r="O57" s="42"/>
      <c r="P57" s="42"/>
      <c r="Q57" s="42"/>
      <c r="R57" s="42"/>
      <c r="S57" s="42"/>
    </row>
    <row r="58" spans="3:19">
      <c r="C58" s="42"/>
      <c r="D58" s="42"/>
      <c r="E58" s="42"/>
      <c r="F58" s="42"/>
      <c r="G58" s="42"/>
      <c r="H58" s="42"/>
      <c r="I58" s="42"/>
      <c r="J58" s="42"/>
      <c r="K58" s="42"/>
      <c r="L58" s="42"/>
      <c r="M58" s="42"/>
      <c r="N58" s="42"/>
      <c r="O58" s="42"/>
      <c r="P58" s="42"/>
      <c r="Q58" s="42"/>
      <c r="R58" s="42"/>
      <c r="S58" s="42"/>
    </row>
    <row r="59" spans="3:19">
      <c r="C59" s="42"/>
      <c r="D59" s="42"/>
      <c r="E59" s="42"/>
      <c r="F59" s="42"/>
      <c r="G59" s="42"/>
      <c r="H59" s="42"/>
      <c r="I59" s="42"/>
      <c r="J59" s="42"/>
      <c r="K59" s="42"/>
      <c r="L59" s="42"/>
      <c r="M59" s="42"/>
      <c r="N59" s="42"/>
      <c r="O59" s="42"/>
      <c r="P59" s="42"/>
      <c r="Q59" s="42"/>
      <c r="R59" s="42"/>
      <c r="S59" s="42"/>
    </row>
    <row r="60" spans="3:19">
      <c r="C60" s="42"/>
      <c r="D60" s="42"/>
      <c r="E60" s="42"/>
      <c r="F60" s="42"/>
      <c r="G60" s="42"/>
      <c r="H60" s="42"/>
      <c r="I60" s="42"/>
      <c r="J60" s="42"/>
      <c r="K60" s="42"/>
      <c r="L60" s="42"/>
      <c r="M60" s="42"/>
      <c r="N60" s="42"/>
      <c r="O60" s="42"/>
      <c r="P60" s="42"/>
      <c r="Q60" s="42"/>
      <c r="R60" s="42"/>
      <c r="S60" s="42"/>
    </row>
    <row r="61" spans="3:19">
      <c r="C61" s="42"/>
      <c r="D61" s="42"/>
      <c r="E61" s="42"/>
      <c r="F61" s="42"/>
      <c r="G61" s="42"/>
      <c r="H61" s="42"/>
      <c r="I61" s="42"/>
      <c r="J61" s="42"/>
      <c r="K61" s="42"/>
      <c r="L61" s="42"/>
      <c r="M61" s="42"/>
      <c r="N61" s="42"/>
      <c r="O61" s="42"/>
      <c r="P61" s="42"/>
      <c r="Q61" s="42"/>
      <c r="R61" s="42"/>
      <c r="S61" s="42"/>
    </row>
    <row r="62" spans="3:19">
      <c r="C62" s="42"/>
      <c r="D62" s="42"/>
      <c r="E62" s="42"/>
      <c r="F62" s="42"/>
      <c r="G62" s="42"/>
      <c r="H62" s="42"/>
      <c r="I62" s="42"/>
      <c r="J62" s="42"/>
      <c r="K62" s="42"/>
      <c r="L62" s="42"/>
      <c r="M62" s="42"/>
      <c r="N62" s="42"/>
      <c r="O62" s="42"/>
      <c r="P62" s="42"/>
      <c r="Q62" s="42"/>
      <c r="R62" s="42"/>
      <c r="S62" s="42"/>
    </row>
    <row r="63" spans="3:19">
      <c r="C63" s="42"/>
      <c r="D63" s="42"/>
      <c r="E63" s="42"/>
      <c r="F63" s="42"/>
      <c r="G63" s="42"/>
      <c r="H63" s="42"/>
      <c r="I63" s="42"/>
      <c r="J63" s="42"/>
      <c r="K63" s="42"/>
      <c r="L63" s="42"/>
      <c r="M63" s="42"/>
      <c r="N63" s="42"/>
      <c r="O63" s="42"/>
      <c r="P63" s="42"/>
      <c r="Q63" s="42"/>
      <c r="R63" s="42"/>
      <c r="S63" s="42"/>
    </row>
    <row r="64" spans="3:19">
      <c r="C64" s="42"/>
      <c r="D64" s="42"/>
      <c r="E64" s="42"/>
      <c r="F64" s="42"/>
      <c r="G64" s="42"/>
      <c r="H64" s="42"/>
      <c r="I64" s="42"/>
      <c r="J64" s="42"/>
      <c r="K64" s="42"/>
      <c r="L64" s="42"/>
      <c r="M64" s="42"/>
      <c r="N64" s="42"/>
      <c r="O64" s="42"/>
      <c r="P64" s="42"/>
      <c r="Q64" s="42"/>
      <c r="R64" s="42"/>
      <c r="S64" s="42"/>
    </row>
    <row r="65" spans="3:19">
      <c r="C65" s="42"/>
      <c r="D65" s="42"/>
      <c r="E65" s="42"/>
      <c r="F65" s="42"/>
      <c r="G65" s="42"/>
      <c r="H65" s="42"/>
      <c r="I65" s="42"/>
      <c r="J65" s="42"/>
      <c r="K65" s="42"/>
      <c r="L65" s="42"/>
      <c r="M65" s="42"/>
      <c r="N65" s="42"/>
      <c r="O65" s="42"/>
      <c r="P65" s="42"/>
      <c r="Q65" s="42"/>
      <c r="R65" s="42"/>
      <c r="S65" s="42"/>
    </row>
    <row r="66" spans="3:19">
      <c r="C66" s="42"/>
      <c r="D66" s="42"/>
      <c r="E66" s="42"/>
      <c r="F66" s="42"/>
      <c r="G66" s="42"/>
      <c r="H66" s="42"/>
      <c r="I66" s="42"/>
      <c r="J66" s="42"/>
      <c r="K66" s="42"/>
      <c r="L66" s="42"/>
      <c r="M66" s="42"/>
      <c r="N66" s="42"/>
      <c r="O66" s="42"/>
      <c r="P66" s="42"/>
      <c r="Q66" s="42"/>
      <c r="R66" s="42"/>
      <c r="S66" s="42"/>
    </row>
    <row r="67" spans="3:19">
      <c r="C67" s="42"/>
      <c r="D67" s="42"/>
      <c r="E67" s="42"/>
      <c r="F67" s="42"/>
      <c r="G67" s="42"/>
      <c r="H67" s="42"/>
      <c r="I67" s="42"/>
      <c r="J67" s="42"/>
      <c r="K67" s="42"/>
      <c r="L67" s="42"/>
      <c r="M67" s="42"/>
      <c r="N67" s="42"/>
      <c r="O67" s="42"/>
      <c r="P67" s="42"/>
      <c r="Q67" s="42"/>
      <c r="R67" s="42"/>
      <c r="S67" s="42"/>
    </row>
    <row r="68" spans="3:19">
      <c r="D68" s="42"/>
      <c r="E68" s="42"/>
      <c r="F68" s="42"/>
      <c r="H68" s="42"/>
      <c r="J68" s="42"/>
      <c r="K68" s="42"/>
      <c r="L68" s="42"/>
      <c r="M68" s="42"/>
      <c r="N68" s="42"/>
      <c r="O68" s="42"/>
      <c r="P68" s="42"/>
    </row>
    <row r="69" spans="3:19">
      <c r="D69" s="42"/>
      <c r="E69" s="42"/>
      <c r="F69" s="42"/>
      <c r="H69" s="42"/>
      <c r="J69" s="42"/>
      <c r="K69" s="42"/>
      <c r="L69" s="42"/>
      <c r="M69" s="42"/>
      <c r="N69" s="42"/>
      <c r="O69" s="42"/>
      <c r="P69" s="42"/>
    </row>
    <row r="70" spans="3:19">
      <c r="D70" s="42"/>
      <c r="E70" s="42"/>
      <c r="F70" s="42"/>
      <c r="H70" s="42"/>
      <c r="J70" s="42"/>
      <c r="K70" s="42"/>
      <c r="L70" s="42"/>
      <c r="M70" s="42"/>
      <c r="N70" s="42"/>
      <c r="O70" s="42"/>
      <c r="P70" s="42"/>
    </row>
    <row r="71" spans="3:19">
      <c r="D71" s="42"/>
      <c r="E71" s="42"/>
      <c r="F71" s="42"/>
      <c r="H71" s="42"/>
      <c r="J71" s="42"/>
      <c r="K71" s="42"/>
      <c r="L71" s="42"/>
      <c r="M71" s="42"/>
      <c r="N71" s="42"/>
      <c r="O71" s="42"/>
      <c r="P71" s="42"/>
    </row>
    <row r="72" spans="3:19">
      <c r="D72" s="42"/>
      <c r="E72" s="42"/>
      <c r="F72" s="42"/>
      <c r="H72" s="42"/>
      <c r="J72" s="42"/>
      <c r="K72" s="42"/>
      <c r="L72" s="42"/>
      <c r="M72" s="42"/>
      <c r="N72" s="42"/>
      <c r="O72" s="42"/>
      <c r="P72" s="42"/>
    </row>
    <row r="73" spans="3:19">
      <c r="D73" s="42"/>
      <c r="E73" s="42"/>
      <c r="F73" s="42"/>
      <c r="H73" s="42"/>
      <c r="J73" s="42"/>
      <c r="K73" s="42"/>
      <c r="L73" s="42"/>
      <c r="M73" s="42"/>
      <c r="N73" s="42"/>
      <c r="O73" s="42"/>
      <c r="P73" s="42"/>
    </row>
    <row r="74" spans="3:19">
      <c r="D74" s="42"/>
      <c r="E74" s="42"/>
      <c r="F74" s="42"/>
      <c r="H74" s="42"/>
      <c r="J74" s="42"/>
      <c r="K74" s="42"/>
      <c r="L74" s="42"/>
      <c r="M74" s="42"/>
      <c r="N74" s="42"/>
      <c r="O74" s="42"/>
      <c r="P74" s="42"/>
    </row>
    <row r="75" spans="3:19">
      <c r="D75" s="42"/>
      <c r="E75" s="42"/>
      <c r="F75" s="42"/>
      <c r="H75" s="42"/>
      <c r="J75" s="42"/>
      <c r="K75" s="42"/>
      <c r="L75" s="42"/>
      <c r="M75" s="42"/>
      <c r="N75" s="42"/>
      <c r="O75" s="42"/>
      <c r="P75" s="42"/>
    </row>
    <row r="76" spans="3:19">
      <c r="D76" s="42"/>
      <c r="E76" s="42"/>
      <c r="F76" s="42"/>
      <c r="H76" s="42"/>
      <c r="J76" s="42"/>
      <c r="K76" s="42"/>
      <c r="L76" s="42"/>
      <c r="M76" s="42"/>
      <c r="N76" s="42"/>
      <c r="O76" s="42"/>
      <c r="P76" s="42"/>
    </row>
    <row r="77" spans="3:19">
      <c r="D77" s="42"/>
      <c r="E77" s="42"/>
      <c r="F77" s="42"/>
      <c r="H77" s="42"/>
      <c r="J77" s="42"/>
      <c r="K77" s="42"/>
      <c r="L77" s="42"/>
      <c r="M77" s="42"/>
      <c r="N77" s="42"/>
      <c r="O77" s="42"/>
      <c r="P77" s="42"/>
    </row>
    <row r="78" spans="3:19">
      <c r="D78" s="42"/>
      <c r="E78" s="42"/>
      <c r="F78" s="42"/>
      <c r="H78" s="42"/>
      <c r="J78" s="42"/>
      <c r="K78" s="42"/>
      <c r="L78" s="42"/>
      <c r="M78" s="42"/>
      <c r="N78" s="42"/>
      <c r="O78" s="42"/>
      <c r="P78" s="42"/>
    </row>
    <row r="79" spans="3:19">
      <c r="D79" s="42"/>
      <c r="E79" s="42"/>
      <c r="F79" s="42"/>
      <c r="H79" s="42"/>
      <c r="J79" s="42"/>
      <c r="K79" s="42"/>
      <c r="L79" s="42"/>
      <c r="M79" s="42"/>
      <c r="N79" s="42"/>
      <c r="O79" s="42"/>
      <c r="P79" s="42"/>
    </row>
    <row r="80" spans="3:19">
      <c r="D80" s="42"/>
      <c r="E80" s="42"/>
      <c r="F80" s="42"/>
      <c r="H80" s="42"/>
      <c r="J80" s="42"/>
      <c r="K80" s="42"/>
      <c r="L80" s="42"/>
      <c r="M80" s="42"/>
      <c r="N80" s="42"/>
      <c r="O80" s="42"/>
      <c r="P80" s="42"/>
    </row>
    <row r="81" spans="4:16">
      <c r="D81" s="42"/>
      <c r="E81" s="42"/>
      <c r="F81" s="42"/>
      <c r="H81" s="42"/>
      <c r="J81" s="42"/>
      <c r="K81" s="42"/>
      <c r="L81" s="42"/>
      <c r="M81" s="42"/>
      <c r="N81" s="42"/>
      <c r="O81" s="42"/>
      <c r="P81" s="42"/>
    </row>
    <row r="82" spans="4:16">
      <c r="D82" s="42"/>
      <c r="E82" s="42"/>
      <c r="F82" s="42"/>
      <c r="H82" s="42"/>
      <c r="J82" s="42"/>
      <c r="K82" s="42"/>
      <c r="L82" s="42"/>
      <c r="M82" s="42"/>
      <c r="N82" s="42"/>
      <c r="O82" s="42"/>
      <c r="P82" s="42"/>
    </row>
    <row r="83" spans="4:16">
      <c r="D83" s="42"/>
      <c r="E83" s="42"/>
      <c r="F83" s="42"/>
      <c r="H83" s="42"/>
      <c r="J83" s="42"/>
      <c r="K83" s="42"/>
      <c r="L83" s="42"/>
      <c r="M83" s="42"/>
      <c r="N83" s="42"/>
      <c r="O83" s="42"/>
      <c r="P83" s="42"/>
    </row>
    <row r="84" spans="4:16">
      <c r="D84" s="42"/>
      <c r="E84" s="42"/>
      <c r="F84" s="42"/>
      <c r="H84" s="42"/>
      <c r="J84" s="42"/>
      <c r="K84" s="42"/>
      <c r="L84" s="42"/>
      <c r="M84" s="42"/>
      <c r="N84" s="42"/>
      <c r="O84" s="42"/>
      <c r="P84" s="42"/>
    </row>
    <row r="85" spans="4:16">
      <c r="D85" s="42"/>
      <c r="E85" s="42"/>
      <c r="F85" s="42"/>
      <c r="H85" s="42"/>
      <c r="J85" s="42"/>
      <c r="K85" s="42"/>
      <c r="L85" s="42"/>
      <c r="M85" s="42"/>
      <c r="N85" s="42"/>
      <c r="O85" s="42"/>
      <c r="P85" s="42"/>
    </row>
    <row r="86" spans="4:16">
      <c r="D86" s="42"/>
      <c r="E86" s="42"/>
      <c r="F86" s="42"/>
      <c r="H86" s="42"/>
      <c r="J86" s="42"/>
      <c r="K86" s="42"/>
      <c r="L86" s="42"/>
      <c r="M86" s="42"/>
      <c r="N86" s="42"/>
      <c r="O86" s="42"/>
      <c r="P86" s="42"/>
    </row>
    <row r="87" spans="4:16">
      <c r="D87" s="42"/>
      <c r="E87" s="42"/>
      <c r="F87" s="42"/>
      <c r="H87" s="42"/>
      <c r="J87" s="42"/>
      <c r="K87" s="42"/>
      <c r="L87" s="42"/>
      <c r="M87" s="42"/>
      <c r="N87" s="42"/>
      <c r="O87" s="42"/>
      <c r="P87" s="42"/>
    </row>
    <row r="88" spans="4:16">
      <c r="D88" s="42"/>
      <c r="E88" s="42"/>
      <c r="F88" s="42"/>
      <c r="H88" s="42"/>
      <c r="J88" s="42"/>
      <c r="K88" s="42"/>
      <c r="L88" s="42"/>
      <c r="M88" s="42"/>
      <c r="N88" s="42"/>
      <c r="O88" s="42"/>
      <c r="P88" s="42"/>
    </row>
    <row r="89" spans="4:16">
      <c r="D89" s="42"/>
      <c r="E89" s="42"/>
      <c r="F89" s="42"/>
      <c r="H89" s="42"/>
      <c r="J89" s="42"/>
      <c r="K89" s="42"/>
      <c r="L89" s="42"/>
      <c r="M89" s="42"/>
      <c r="N89" s="42"/>
      <c r="O89" s="42"/>
      <c r="P89" s="42"/>
    </row>
    <row r="90" spans="4:16">
      <c r="D90" s="42"/>
      <c r="E90" s="42"/>
      <c r="F90" s="42"/>
      <c r="H90" s="42"/>
      <c r="J90" s="42"/>
      <c r="K90" s="42"/>
      <c r="L90" s="42"/>
      <c r="M90" s="42"/>
      <c r="N90" s="42"/>
      <c r="O90" s="42"/>
      <c r="P90" s="42"/>
    </row>
    <row r="91" spans="4:16">
      <c r="D91" s="42"/>
      <c r="E91" s="42"/>
      <c r="F91" s="42"/>
      <c r="H91" s="42"/>
      <c r="J91" s="42"/>
      <c r="K91" s="42"/>
      <c r="L91" s="42"/>
      <c r="M91" s="42"/>
      <c r="N91" s="42"/>
      <c r="O91" s="42"/>
      <c r="P91" s="42"/>
    </row>
    <row r="92" spans="4:16">
      <c r="D92" s="42"/>
      <c r="E92" s="42"/>
      <c r="F92" s="42"/>
      <c r="H92" s="42"/>
      <c r="J92" s="42"/>
      <c r="K92" s="42"/>
      <c r="L92" s="42"/>
      <c r="M92" s="42"/>
      <c r="N92" s="42"/>
      <c r="O92" s="42"/>
      <c r="P92" s="42"/>
    </row>
    <row r="93" spans="4:16">
      <c r="D93" s="42"/>
      <c r="E93" s="42"/>
      <c r="F93" s="42"/>
      <c r="H93" s="42"/>
      <c r="J93" s="42"/>
      <c r="K93" s="42"/>
      <c r="L93" s="42"/>
      <c r="M93" s="42"/>
      <c r="N93" s="42"/>
      <c r="O93" s="42"/>
      <c r="P93" s="42"/>
    </row>
    <row r="94" spans="4:16">
      <c r="D94" s="42"/>
      <c r="E94" s="42"/>
      <c r="F94" s="42"/>
      <c r="H94" s="42"/>
      <c r="J94" s="42"/>
      <c r="K94" s="42"/>
      <c r="L94" s="42"/>
      <c r="M94" s="42"/>
      <c r="N94" s="42"/>
      <c r="O94" s="42"/>
      <c r="P94" s="42"/>
    </row>
    <row r="95" spans="4:16">
      <c r="D95" s="42"/>
      <c r="E95" s="42"/>
      <c r="F95" s="42"/>
      <c r="H95" s="42"/>
      <c r="J95" s="42"/>
      <c r="K95" s="42"/>
      <c r="L95" s="42"/>
      <c r="M95" s="42"/>
      <c r="N95" s="42"/>
      <c r="O95" s="42"/>
      <c r="P95" s="42"/>
    </row>
    <row r="96" spans="4:16">
      <c r="D96" s="42"/>
      <c r="E96" s="42"/>
      <c r="F96" s="42"/>
      <c r="H96" s="42"/>
      <c r="J96" s="42"/>
      <c r="K96" s="42"/>
      <c r="L96" s="42"/>
      <c r="M96" s="42"/>
      <c r="N96" s="42"/>
      <c r="O96" s="42"/>
      <c r="P96" s="42"/>
    </row>
    <row r="97" spans="4:16">
      <c r="D97" s="42"/>
      <c r="E97" s="42"/>
      <c r="F97" s="42"/>
      <c r="H97" s="42"/>
      <c r="J97" s="42"/>
      <c r="K97" s="42"/>
      <c r="L97" s="42"/>
      <c r="M97" s="42"/>
      <c r="N97" s="42"/>
      <c r="O97" s="42"/>
      <c r="P97" s="42"/>
    </row>
    <row r="98" spans="4:16">
      <c r="D98" s="42"/>
      <c r="E98" s="42"/>
      <c r="F98" s="42"/>
      <c r="H98" s="42"/>
      <c r="J98" s="42"/>
      <c r="K98" s="42"/>
      <c r="L98" s="42"/>
      <c r="M98" s="42"/>
      <c r="N98" s="42"/>
      <c r="O98" s="42"/>
      <c r="P98" s="42"/>
    </row>
    <row r="99" spans="4:16">
      <c r="D99" s="42"/>
      <c r="E99" s="42"/>
      <c r="F99" s="42"/>
      <c r="H99" s="42"/>
      <c r="J99" s="42"/>
      <c r="K99" s="42"/>
      <c r="L99" s="42"/>
      <c r="M99" s="42"/>
      <c r="N99" s="42"/>
      <c r="O99" s="42"/>
      <c r="P99" s="42"/>
    </row>
    <row r="100" spans="4:16">
      <c r="D100" s="42"/>
      <c r="E100" s="42"/>
      <c r="F100" s="42"/>
      <c r="H100" s="42"/>
      <c r="J100" s="42"/>
      <c r="K100" s="42"/>
      <c r="L100" s="42"/>
      <c r="M100" s="42"/>
      <c r="N100" s="42"/>
      <c r="O100" s="42"/>
      <c r="P100" s="42"/>
    </row>
    <row r="101" spans="4:16">
      <c r="D101" s="42"/>
      <c r="E101" s="42"/>
      <c r="F101" s="42"/>
      <c r="H101" s="42"/>
      <c r="J101" s="42"/>
      <c r="K101" s="42"/>
      <c r="L101" s="42"/>
      <c r="M101" s="42"/>
      <c r="N101" s="42"/>
      <c r="O101" s="42"/>
      <c r="P101" s="42"/>
    </row>
    <row r="102" spans="4:16">
      <c r="D102" s="42"/>
      <c r="E102" s="42"/>
      <c r="F102" s="42"/>
      <c r="H102" s="42"/>
      <c r="J102" s="42"/>
      <c r="K102" s="42"/>
      <c r="L102" s="42"/>
      <c r="M102" s="42"/>
      <c r="N102" s="42"/>
      <c r="O102" s="42"/>
      <c r="P102" s="42"/>
    </row>
    <row r="103" spans="4:16">
      <c r="D103" s="42"/>
      <c r="E103" s="42"/>
      <c r="F103" s="42"/>
      <c r="H103" s="42"/>
      <c r="J103" s="42"/>
      <c r="K103" s="42"/>
      <c r="L103" s="42"/>
      <c r="M103" s="42"/>
      <c r="N103" s="42"/>
      <c r="O103" s="42"/>
      <c r="P103" s="42"/>
    </row>
    <row r="104" spans="4:16">
      <c r="D104" s="42"/>
      <c r="E104" s="42"/>
      <c r="F104" s="42"/>
      <c r="H104" s="42"/>
      <c r="J104" s="42"/>
      <c r="K104" s="42"/>
      <c r="L104" s="42"/>
      <c r="M104" s="42"/>
      <c r="N104" s="42"/>
      <c r="O104" s="42"/>
      <c r="P104" s="42"/>
    </row>
    <row r="105" spans="4:16">
      <c r="D105" s="42"/>
      <c r="E105" s="42"/>
      <c r="F105" s="42"/>
      <c r="H105" s="42"/>
      <c r="J105" s="42"/>
      <c r="K105" s="42"/>
      <c r="L105" s="42"/>
      <c r="M105" s="42"/>
      <c r="N105" s="42"/>
      <c r="O105" s="42"/>
      <c r="P105" s="42"/>
    </row>
    <row r="106" spans="4:16">
      <c r="D106" s="42"/>
      <c r="E106" s="42"/>
      <c r="F106" s="42"/>
      <c r="H106" s="42"/>
      <c r="J106" s="42"/>
      <c r="K106" s="42"/>
      <c r="L106" s="42"/>
      <c r="M106" s="42"/>
      <c r="N106" s="42"/>
      <c r="O106" s="42"/>
      <c r="P106" s="42"/>
    </row>
    <row r="107" spans="4:16">
      <c r="D107" s="42"/>
      <c r="E107" s="42"/>
      <c r="F107" s="42"/>
      <c r="H107" s="42"/>
      <c r="J107" s="42"/>
      <c r="K107" s="42"/>
      <c r="L107" s="42"/>
      <c r="M107" s="42"/>
      <c r="N107" s="42"/>
      <c r="O107" s="42"/>
      <c r="P107" s="42"/>
    </row>
    <row r="108" spans="4:16">
      <c r="D108" s="42"/>
      <c r="E108" s="42"/>
      <c r="F108" s="42"/>
      <c r="H108" s="42"/>
      <c r="J108" s="42"/>
      <c r="K108" s="42"/>
      <c r="L108" s="42"/>
      <c r="M108" s="42"/>
      <c r="N108" s="42"/>
      <c r="O108" s="42"/>
      <c r="P108" s="42"/>
    </row>
    <row r="109" spans="4:16">
      <c r="D109" s="42"/>
      <c r="E109" s="42"/>
      <c r="F109" s="42"/>
      <c r="H109" s="42"/>
      <c r="J109" s="42"/>
      <c r="K109" s="42"/>
      <c r="L109" s="42"/>
      <c r="M109" s="42"/>
      <c r="N109" s="42"/>
      <c r="O109" s="42"/>
      <c r="P109" s="42"/>
    </row>
    <row r="110" spans="4:16">
      <c r="D110" s="42"/>
      <c r="E110" s="42"/>
      <c r="F110" s="42"/>
      <c r="H110" s="42"/>
      <c r="J110" s="42"/>
      <c r="K110" s="42"/>
      <c r="L110" s="42"/>
      <c r="M110" s="42"/>
      <c r="N110" s="42"/>
      <c r="O110" s="42"/>
      <c r="P110" s="42"/>
    </row>
    <row r="111" spans="4:16">
      <c r="D111" s="42"/>
      <c r="E111" s="42"/>
      <c r="F111" s="42"/>
      <c r="H111" s="42"/>
      <c r="J111" s="42"/>
      <c r="K111" s="42"/>
      <c r="L111" s="42"/>
      <c r="M111" s="42"/>
      <c r="N111" s="42"/>
      <c r="O111" s="42"/>
      <c r="P111" s="42"/>
    </row>
    <row r="112" spans="4:16">
      <c r="D112" s="42"/>
      <c r="E112" s="42"/>
      <c r="F112" s="42"/>
      <c r="H112" s="42"/>
      <c r="J112" s="42"/>
      <c r="K112" s="42"/>
      <c r="L112" s="42"/>
      <c r="M112" s="42"/>
      <c r="N112" s="42"/>
      <c r="O112" s="42"/>
      <c r="P112" s="42"/>
    </row>
    <row r="113" spans="4:16">
      <c r="D113" s="42"/>
      <c r="E113" s="42"/>
      <c r="F113" s="42"/>
      <c r="H113" s="42"/>
      <c r="J113" s="42"/>
      <c r="K113" s="42"/>
      <c r="L113" s="42"/>
      <c r="M113" s="42"/>
      <c r="N113" s="42"/>
      <c r="O113" s="42"/>
      <c r="P113" s="42"/>
    </row>
    <row r="114" spans="4:16">
      <c r="D114" s="42"/>
      <c r="E114" s="42"/>
      <c r="F114" s="42"/>
      <c r="H114" s="42"/>
      <c r="J114" s="42"/>
      <c r="K114" s="42"/>
      <c r="L114" s="42"/>
      <c r="M114" s="42"/>
      <c r="N114" s="42"/>
      <c r="O114" s="42"/>
      <c r="P114" s="42"/>
    </row>
    <row r="115" spans="4:16">
      <c r="D115" s="42"/>
      <c r="E115" s="42"/>
      <c r="F115" s="42"/>
      <c r="H115" s="42"/>
      <c r="J115" s="42"/>
      <c r="K115" s="42"/>
      <c r="L115" s="42"/>
      <c r="M115" s="42"/>
      <c r="N115" s="42"/>
      <c r="O115" s="42"/>
      <c r="P115" s="42"/>
    </row>
    <row r="116" spans="4:16">
      <c r="D116" s="42"/>
      <c r="E116" s="42"/>
      <c r="F116" s="42"/>
      <c r="H116" s="42"/>
      <c r="J116" s="42"/>
      <c r="K116" s="42"/>
      <c r="L116" s="42"/>
      <c r="M116" s="42"/>
      <c r="N116" s="42"/>
      <c r="O116" s="42"/>
      <c r="P116" s="42"/>
    </row>
    <row r="117" spans="4:16">
      <c r="D117" s="42"/>
      <c r="E117" s="42"/>
      <c r="F117" s="42"/>
      <c r="H117" s="42"/>
      <c r="J117" s="42"/>
      <c r="K117" s="42"/>
      <c r="L117" s="42"/>
      <c r="M117" s="42"/>
      <c r="N117" s="42"/>
      <c r="O117" s="42"/>
      <c r="P117" s="42"/>
    </row>
    <row r="118" spans="4:16">
      <c r="D118" s="42"/>
      <c r="E118" s="42"/>
      <c r="F118" s="42"/>
      <c r="H118" s="42"/>
      <c r="J118" s="42"/>
      <c r="K118" s="42"/>
      <c r="L118" s="42"/>
      <c r="M118" s="42"/>
      <c r="N118" s="42"/>
      <c r="O118" s="42"/>
      <c r="P118" s="42"/>
    </row>
    <row r="119" spans="4:16">
      <c r="D119" s="42"/>
      <c r="E119" s="42"/>
      <c r="F119" s="42"/>
      <c r="H119" s="42"/>
      <c r="J119" s="42"/>
      <c r="K119" s="42"/>
      <c r="L119" s="42"/>
      <c r="M119" s="42"/>
      <c r="N119" s="42"/>
      <c r="O119" s="42"/>
      <c r="P119" s="42"/>
    </row>
    <row r="120" spans="4:16">
      <c r="D120" s="42"/>
      <c r="E120" s="42"/>
      <c r="F120" s="42"/>
      <c r="H120" s="42"/>
      <c r="J120" s="42"/>
      <c r="K120" s="42"/>
      <c r="L120" s="42"/>
      <c r="M120" s="42"/>
      <c r="N120" s="42"/>
      <c r="O120" s="42"/>
      <c r="P120" s="42"/>
    </row>
    <row r="121" spans="4:16">
      <c r="D121" s="42"/>
      <c r="E121" s="42"/>
      <c r="F121" s="42"/>
      <c r="H121" s="42"/>
      <c r="J121" s="42"/>
      <c r="K121" s="42"/>
      <c r="L121" s="42"/>
      <c r="M121" s="42"/>
      <c r="N121" s="42"/>
      <c r="O121" s="42"/>
      <c r="P121" s="42"/>
    </row>
    <row r="122" spans="4:16">
      <c r="D122" s="42"/>
      <c r="E122" s="42"/>
      <c r="F122" s="42"/>
      <c r="H122" s="42"/>
      <c r="J122" s="42"/>
      <c r="K122" s="42"/>
      <c r="L122" s="42"/>
      <c r="M122" s="42"/>
      <c r="N122" s="42"/>
      <c r="O122" s="42"/>
      <c r="P122" s="42"/>
    </row>
    <row r="123" spans="4:16">
      <c r="D123" s="42"/>
      <c r="E123" s="42"/>
      <c r="F123" s="42"/>
      <c r="H123" s="42"/>
      <c r="J123" s="42"/>
      <c r="K123" s="42"/>
      <c r="L123" s="42"/>
      <c r="M123" s="42"/>
      <c r="N123" s="42"/>
      <c r="O123" s="42"/>
      <c r="P123" s="42"/>
    </row>
    <row r="124" spans="4:16">
      <c r="D124" s="42"/>
      <c r="E124" s="42"/>
      <c r="F124" s="42"/>
      <c r="H124" s="42"/>
      <c r="J124" s="42"/>
      <c r="K124" s="42"/>
      <c r="L124" s="42"/>
      <c r="M124" s="42"/>
      <c r="N124" s="42"/>
      <c r="O124" s="42"/>
      <c r="P124" s="42"/>
    </row>
    <row r="125" spans="4:16">
      <c r="D125" s="42"/>
      <c r="E125" s="42"/>
      <c r="F125" s="42"/>
      <c r="H125" s="42"/>
      <c r="J125" s="42"/>
      <c r="K125" s="42"/>
      <c r="L125" s="42"/>
      <c r="M125" s="42"/>
      <c r="N125" s="42"/>
      <c r="O125" s="42"/>
      <c r="P125" s="42"/>
    </row>
    <row r="126" spans="4:16">
      <c r="D126" s="42"/>
      <c r="E126" s="42"/>
      <c r="F126" s="42"/>
      <c r="H126" s="42"/>
      <c r="J126" s="42"/>
      <c r="K126" s="42"/>
      <c r="L126" s="42"/>
      <c r="M126" s="42"/>
      <c r="N126" s="42"/>
      <c r="O126" s="42"/>
      <c r="P126" s="42"/>
    </row>
    <row r="127" spans="4:16">
      <c r="D127" s="42"/>
      <c r="E127" s="42"/>
      <c r="F127" s="42"/>
      <c r="H127" s="42"/>
      <c r="J127" s="42"/>
      <c r="K127" s="42"/>
      <c r="L127" s="42"/>
      <c r="M127" s="42"/>
      <c r="N127" s="42"/>
      <c r="O127" s="42"/>
      <c r="P127" s="42"/>
    </row>
    <row r="128" spans="4:16">
      <c r="D128" s="42"/>
      <c r="E128" s="42"/>
      <c r="F128" s="42"/>
      <c r="H128" s="42"/>
      <c r="J128" s="42"/>
      <c r="K128" s="42"/>
      <c r="L128" s="42"/>
      <c r="M128" s="42"/>
      <c r="N128" s="42"/>
      <c r="O128" s="42"/>
      <c r="P128" s="42"/>
    </row>
    <row r="129" spans="4:16">
      <c r="D129" s="42"/>
      <c r="E129" s="42"/>
      <c r="F129" s="42"/>
      <c r="H129" s="42"/>
      <c r="J129" s="42"/>
      <c r="K129" s="42"/>
      <c r="L129" s="42"/>
      <c r="M129" s="42"/>
      <c r="N129" s="42"/>
      <c r="O129" s="42"/>
      <c r="P129" s="42"/>
    </row>
    <row r="130" spans="4:16">
      <c r="D130" s="42"/>
      <c r="E130" s="42"/>
      <c r="F130" s="42"/>
      <c r="H130" s="42"/>
      <c r="J130" s="42"/>
      <c r="K130" s="42"/>
      <c r="L130" s="42"/>
      <c r="M130" s="42"/>
      <c r="N130" s="42"/>
      <c r="O130" s="42"/>
      <c r="P130" s="42"/>
    </row>
    <row r="131" spans="4:16">
      <c r="D131" s="42"/>
      <c r="E131" s="42"/>
      <c r="F131" s="42"/>
      <c r="H131" s="42"/>
      <c r="J131" s="42"/>
      <c r="K131" s="42"/>
      <c r="L131" s="42"/>
      <c r="M131" s="42"/>
      <c r="N131" s="42"/>
      <c r="O131" s="42"/>
      <c r="P131" s="42"/>
    </row>
    <row r="132" spans="4:16">
      <c r="D132" s="42"/>
      <c r="E132" s="42"/>
      <c r="F132" s="42"/>
      <c r="H132" s="42"/>
      <c r="J132" s="42"/>
      <c r="K132" s="42"/>
      <c r="L132" s="42"/>
      <c r="M132" s="42"/>
      <c r="N132" s="42"/>
      <c r="O132" s="42"/>
      <c r="P132" s="42"/>
    </row>
    <row r="133" spans="4:16">
      <c r="D133" s="42"/>
      <c r="E133" s="42"/>
      <c r="F133" s="42"/>
      <c r="H133" s="42"/>
      <c r="J133" s="42"/>
      <c r="K133" s="42"/>
      <c r="L133" s="42"/>
      <c r="M133" s="42"/>
      <c r="N133" s="42"/>
      <c r="O133" s="42"/>
      <c r="P133" s="42"/>
    </row>
  </sheetData>
  <hyperlinks>
    <hyperlink ref="K15" r:id="rId1"/>
    <hyperlink ref="M6" r:id="rId2"/>
    <hyperlink ref="M12" r:id="rId3"/>
    <hyperlink ref="M30" r:id="rId4"/>
    <hyperlink ref="K5" r:id="rId5"/>
    <hyperlink ref="K6" r:id="rId6"/>
    <hyperlink ref="K9" r:id="rId7"/>
    <hyperlink ref="K14" r:id="rId8"/>
    <hyperlink ref="K22" r:id="rId9"/>
    <hyperlink ref="K25" r:id="rId10"/>
  </hyperlinks>
  <pageMargins left="0.7" right="0.7" top="0.75" bottom="0.75" header="0.3" footer="0.3"/>
  <pageSetup paperSize="9" orientation="portrait" r:id="rId11"/>
  <tableParts count="1">
    <tablePart r:id="rId1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9" tint="-0.499984740745262"/>
  </sheetPr>
  <dimension ref="A1:T159"/>
  <sheetViews>
    <sheetView workbookViewId="0"/>
  </sheetViews>
  <sheetFormatPr baseColWidth="10" defaultColWidth="10.5703125" defaultRowHeight="15"/>
  <cols>
    <col min="1" max="1" width="16.5703125" style="8" customWidth="1"/>
    <col min="2" max="2" width="5" style="1" customWidth="1"/>
    <col min="3" max="3" width="10.5703125" style="1"/>
    <col min="4" max="4" width="13.42578125" style="1" customWidth="1"/>
    <col min="5" max="5" width="11.140625" style="1" customWidth="1"/>
    <col min="6" max="6" width="10.5703125" style="1"/>
    <col min="7" max="7" width="16.42578125" style="1" customWidth="1"/>
    <col min="8" max="8" width="12.85546875" style="1" customWidth="1"/>
    <col min="9" max="9" width="10.5703125" style="1"/>
    <col min="10" max="10" width="12.42578125" style="1" customWidth="1"/>
    <col min="11" max="11" width="11.5703125" style="1" customWidth="1"/>
    <col min="12" max="12" width="18.85546875" style="1" customWidth="1"/>
    <col min="13" max="13" width="18.5703125" style="1" customWidth="1"/>
    <col min="16" max="16" width="13.5703125" customWidth="1"/>
    <col min="19" max="19" width="16.5703125" style="1" bestFit="1" customWidth="1"/>
    <col min="20" max="20" width="16.42578125" style="1" bestFit="1" customWidth="1"/>
    <col min="21" max="16384" width="10.5703125" style="1"/>
  </cols>
  <sheetData>
    <row r="1" spans="1:20" ht="11.1" customHeight="1">
      <c r="N1" s="1"/>
      <c r="O1" s="1"/>
      <c r="P1" s="1"/>
      <c r="Q1" s="1"/>
      <c r="R1" s="1"/>
    </row>
    <row r="2" spans="1:20" ht="20.100000000000001" customHeight="1">
      <c r="C2" s="54" t="s">
        <v>11</v>
      </c>
      <c r="D2" s="54"/>
      <c r="E2" s="54"/>
      <c r="F2" s="54"/>
      <c r="G2" s="54"/>
      <c r="H2" s="54"/>
      <c r="I2" s="54"/>
      <c r="J2" s="54"/>
      <c r="K2" s="54"/>
      <c r="L2" s="54"/>
      <c r="M2" s="54"/>
      <c r="N2" s="54"/>
      <c r="O2" s="54"/>
      <c r="P2" s="1"/>
      <c r="Q2" s="1"/>
      <c r="R2" s="1"/>
    </row>
    <row r="3" spans="1:20">
      <c r="N3" s="1"/>
      <c r="O3" s="1"/>
      <c r="P3" s="1"/>
      <c r="Q3" s="1"/>
      <c r="R3" s="1"/>
    </row>
    <row r="4" spans="1:20" ht="60">
      <c r="A4" s="9"/>
      <c r="C4" s="24" t="s">
        <v>17</v>
      </c>
      <c r="D4" s="23" t="s">
        <v>778</v>
      </c>
      <c r="E4" s="23" t="s">
        <v>19</v>
      </c>
      <c r="F4" s="23" t="s">
        <v>899</v>
      </c>
      <c r="G4" s="22" t="s">
        <v>21</v>
      </c>
      <c r="H4" s="22" t="s">
        <v>22</v>
      </c>
      <c r="I4" s="23" t="s">
        <v>779</v>
      </c>
      <c r="J4" s="24" t="s">
        <v>780</v>
      </c>
      <c r="K4" s="23" t="s">
        <v>24</v>
      </c>
      <c r="L4" s="23" t="s">
        <v>900</v>
      </c>
      <c r="M4" s="23" t="s">
        <v>782</v>
      </c>
      <c r="N4" s="23" t="s">
        <v>901</v>
      </c>
      <c r="O4" s="23" t="s">
        <v>224</v>
      </c>
      <c r="P4" s="23" t="s">
        <v>28</v>
      </c>
      <c r="Q4" s="1"/>
      <c r="R4" s="1"/>
    </row>
    <row r="5" spans="1:20" ht="150">
      <c r="C5" s="27" t="s">
        <v>57</v>
      </c>
      <c r="D5" s="26" t="s">
        <v>785</v>
      </c>
      <c r="E5" s="26" t="s">
        <v>147</v>
      </c>
      <c r="F5" s="27" t="s">
        <v>902</v>
      </c>
      <c r="G5" s="26" t="s">
        <v>11</v>
      </c>
      <c r="H5" s="26" t="s">
        <v>651</v>
      </c>
      <c r="I5" s="27" t="s">
        <v>787</v>
      </c>
      <c r="J5" s="27" t="s">
        <v>224</v>
      </c>
      <c r="K5" s="33" t="s">
        <v>392</v>
      </c>
      <c r="L5" s="26" t="s">
        <v>753</v>
      </c>
      <c r="M5" s="33" t="s">
        <v>394</v>
      </c>
      <c r="N5" s="27" t="s">
        <v>754</v>
      </c>
      <c r="O5" s="27" t="s">
        <v>788</v>
      </c>
      <c r="P5" s="51" t="s">
        <v>747</v>
      </c>
      <c r="Q5" s="1"/>
      <c r="R5" s="1"/>
    </row>
    <row r="6" spans="1:20" ht="135">
      <c r="C6" s="27" t="s">
        <v>29</v>
      </c>
      <c r="D6" s="26" t="s">
        <v>199</v>
      </c>
      <c r="E6" s="26" t="s">
        <v>200</v>
      </c>
      <c r="F6" s="27" t="s">
        <v>903</v>
      </c>
      <c r="G6" s="26" t="s">
        <v>11</v>
      </c>
      <c r="H6" s="26" t="s">
        <v>323</v>
      </c>
      <c r="I6" s="27" t="s">
        <v>787</v>
      </c>
      <c r="J6" s="27" t="s">
        <v>224</v>
      </c>
      <c r="K6" s="33" t="s">
        <v>324</v>
      </c>
      <c r="L6" s="26" t="s">
        <v>610</v>
      </c>
      <c r="M6" s="33" t="s">
        <v>325</v>
      </c>
      <c r="N6" s="27" t="s">
        <v>746</v>
      </c>
      <c r="O6" s="27" t="s">
        <v>788</v>
      </c>
      <c r="P6" s="51" t="s">
        <v>747</v>
      </c>
      <c r="Q6" s="1"/>
      <c r="R6" s="1"/>
    </row>
    <row r="7" spans="1:20" ht="180">
      <c r="C7" s="27" t="s">
        <v>49</v>
      </c>
      <c r="D7" s="26" t="s">
        <v>868</v>
      </c>
      <c r="E7" s="26" t="s">
        <v>612</v>
      </c>
      <c r="F7" s="27" t="s">
        <v>904</v>
      </c>
      <c r="G7" s="26" t="s">
        <v>11</v>
      </c>
      <c r="H7" s="26" t="s">
        <v>613</v>
      </c>
      <c r="I7" s="27" t="s">
        <v>787</v>
      </c>
      <c r="J7" s="27" t="s">
        <v>224</v>
      </c>
      <c r="K7" s="33" t="s">
        <v>367</v>
      </c>
      <c r="L7" s="26" t="s">
        <v>373</v>
      </c>
      <c r="M7" s="33" t="s">
        <v>368</v>
      </c>
      <c r="N7" s="27" t="s">
        <v>905</v>
      </c>
      <c r="O7" s="27" t="s">
        <v>788</v>
      </c>
      <c r="P7" s="51" t="s">
        <v>747</v>
      </c>
      <c r="Q7" s="1"/>
      <c r="R7" s="1"/>
    </row>
    <row r="8" spans="1:20" ht="75">
      <c r="C8" s="27" t="s">
        <v>49</v>
      </c>
      <c r="D8" s="26" t="s">
        <v>816</v>
      </c>
      <c r="E8" s="26" t="s">
        <v>612</v>
      </c>
      <c r="F8" s="27" t="s">
        <v>906</v>
      </c>
      <c r="G8" s="26" t="s">
        <v>11</v>
      </c>
      <c r="H8" s="26" t="s">
        <v>826</v>
      </c>
      <c r="I8" s="27" t="s">
        <v>787</v>
      </c>
      <c r="J8" s="27" t="s">
        <v>224</v>
      </c>
      <c r="K8" s="33" t="s">
        <v>367</v>
      </c>
      <c r="L8" s="26" t="s">
        <v>373</v>
      </c>
      <c r="M8" s="33" t="s">
        <v>368</v>
      </c>
      <c r="N8" s="27" t="s">
        <v>907</v>
      </c>
      <c r="O8" s="27" t="s">
        <v>788</v>
      </c>
      <c r="P8" s="51" t="s">
        <v>747</v>
      </c>
      <c r="Q8" s="1"/>
      <c r="R8" s="1"/>
    </row>
    <row r="9" spans="1:20" ht="285">
      <c r="C9" s="27" t="s">
        <v>829</v>
      </c>
      <c r="D9" s="26" t="s">
        <v>908</v>
      </c>
      <c r="E9" s="26" t="s">
        <v>728</v>
      </c>
      <c r="F9" s="27" t="s">
        <v>909</v>
      </c>
      <c r="G9" s="26" t="s">
        <v>11</v>
      </c>
      <c r="H9" s="26" t="s">
        <v>730</v>
      </c>
      <c r="I9" s="27" t="s">
        <v>814</v>
      </c>
      <c r="J9" s="27" t="s">
        <v>731</v>
      </c>
      <c r="K9" s="33" t="s">
        <v>732</v>
      </c>
      <c r="L9" s="26" t="s">
        <v>733</v>
      </c>
      <c r="M9" s="34"/>
      <c r="N9" s="27" t="s">
        <v>773</v>
      </c>
      <c r="O9" s="27" t="s">
        <v>788</v>
      </c>
      <c r="P9" s="51" t="s">
        <v>747</v>
      </c>
      <c r="Q9" s="1"/>
      <c r="R9" s="1"/>
    </row>
    <row r="10" spans="1:20" ht="150">
      <c r="C10" s="27" t="s">
        <v>49</v>
      </c>
      <c r="D10" s="26" t="s">
        <v>868</v>
      </c>
      <c r="E10" s="26" t="s">
        <v>612</v>
      </c>
      <c r="F10" s="27" t="s">
        <v>910</v>
      </c>
      <c r="G10" s="26" t="s">
        <v>11</v>
      </c>
      <c r="H10" s="26" t="s">
        <v>836</v>
      </c>
      <c r="I10" s="27" t="s">
        <v>787</v>
      </c>
      <c r="J10" s="27" t="s">
        <v>224</v>
      </c>
      <c r="K10" s="33" t="s">
        <v>367</v>
      </c>
      <c r="L10" s="26" t="s">
        <v>373</v>
      </c>
      <c r="M10" s="33" t="s">
        <v>368</v>
      </c>
      <c r="N10" s="27" t="s">
        <v>911</v>
      </c>
      <c r="O10" s="27" t="s">
        <v>788</v>
      </c>
      <c r="P10" s="51" t="s">
        <v>747</v>
      </c>
      <c r="Q10" s="1"/>
      <c r="R10" s="1"/>
    </row>
    <row r="11" spans="1:20" ht="210">
      <c r="C11" s="27" t="s">
        <v>844</v>
      </c>
      <c r="D11" s="26" t="s">
        <v>186</v>
      </c>
      <c r="E11" s="26" t="s">
        <v>187</v>
      </c>
      <c r="F11" s="27" t="s">
        <v>845</v>
      </c>
      <c r="G11" s="26" t="s">
        <v>11</v>
      </c>
      <c r="H11" s="26" t="s">
        <v>344</v>
      </c>
      <c r="I11" s="27" t="s">
        <v>787</v>
      </c>
      <c r="J11" s="27" t="s">
        <v>224</v>
      </c>
      <c r="K11" s="33" t="s">
        <v>345</v>
      </c>
      <c r="L11" s="26" t="s">
        <v>750</v>
      </c>
      <c r="M11" s="33" t="s">
        <v>347</v>
      </c>
      <c r="N11" s="27" t="s">
        <v>751</v>
      </c>
      <c r="O11" s="27" t="s">
        <v>788</v>
      </c>
      <c r="P11" s="51" t="s">
        <v>747</v>
      </c>
      <c r="Q11" s="1"/>
      <c r="R11" s="1"/>
    </row>
    <row r="12" spans="1:20" ht="75">
      <c r="C12" s="27" t="s">
        <v>49</v>
      </c>
      <c r="D12" s="26" t="s">
        <v>912</v>
      </c>
      <c r="E12" s="26" t="s">
        <v>187</v>
      </c>
      <c r="F12" s="27" t="s">
        <v>913</v>
      </c>
      <c r="G12" s="26" t="s">
        <v>11</v>
      </c>
      <c r="H12" s="26" t="s">
        <v>914</v>
      </c>
      <c r="I12" s="27" t="s">
        <v>787</v>
      </c>
      <c r="J12" s="27" t="s">
        <v>34</v>
      </c>
      <c r="K12" s="33" t="s">
        <v>716</v>
      </c>
      <c r="L12" s="26" t="s">
        <v>717</v>
      </c>
      <c r="M12" s="33" t="s">
        <v>718</v>
      </c>
      <c r="N12" s="27" t="s">
        <v>915</v>
      </c>
      <c r="O12" s="27" t="s">
        <v>788</v>
      </c>
      <c r="P12" s="51" t="s">
        <v>747</v>
      </c>
      <c r="Q12" s="1"/>
      <c r="R12" s="1"/>
    </row>
    <row r="13" spans="1:20" ht="60">
      <c r="C13" s="37" t="s">
        <v>108</v>
      </c>
      <c r="D13" s="30" t="s">
        <v>407</v>
      </c>
      <c r="E13" s="30" t="s">
        <v>755</v>
      </c>
      <c r="F13" s="37" t="s">
        <v>774</v>
      </c>
      <c r="G13" s="30" t="s">
        <v>11</v>
      </c>
      <c r="H13" s="30" t="s">
        <v>756</v>
      </c>
      <c r="I13" s="37" t="s">
        <v>814</v>
      </c>
      <c r="J13" s="37" t="s">
        <v>224</v>
      </c>
      <c r="K13" s="35" t="s">
        <v>402</v>
      </c>
      <c r="L13" s="30" t="s">
        <v>757</v>
      </c>
      <c r="M13" s="35" t="s">
        <v>404</v>
      </c>
      <c r="N13" s="37" t="s">
        <v>758</v>
      </c>
      <c r="O13" s="37" t="s">
        <v>788</v>
      </c>
      <c r="P13" s="51" t="s">
        <v>747</v>
      </c>
      <c r="Q13" s="1"/>
      <c r="R13" s="1"/>
    </row>
    <row r="14" spans="1:20" ht="75">
      <c r="C14" s="30" t="s">
        <v>69</v>
      </c>
      <c r="D14" s="30" t="s">
        <v>160</v>
      </c>
      <c r="E14" s="30">
        <v>89011</v>
      </c>
      <c r="F14" s="30" t="s">
        <v>337</v>
      </c>
      <c r="G14" s="30" t="s">
        <v>916</v>
      </c>
      <c r="H14" s="30" t="s">
        <v>338</v>
      </c>
      <c r="I14" s="30" t="s">
        <v>787</v>
      </c>
      <c r="J14" s="30" t="s">
        <v>224</v>
      </c>
      <c r="K14" s="40" t="s">
        <v>339</v>
      </c>
      <c r="L14" s="30" t="s">
        <v>749</v>
      </c>
      <c r="M14" s="40" t="s">
        <v>341</v>
      </c>
      <c r="N14" s="41" t="s">
        <v>342</v>
      </c>
      <c r="O14" s="41" t="s">
        <v>788</v>
      </c>
      <c r="P14" s="51" t="s">
        <v>747</v>
      </c>
      <c r="Q14" s="42"/>
      <c r="R14" s="42"/>
      <c r="S14" s="42"/>
      <c r="T14" s="42"/>
    </row>
    <row r="15" spans="1:20">
      <c r="C15" s="42"/>
      <c r="D15" s="42"/>
      <c r="E15" s="42"/>
      <c r="F15" s="42"/>
      <c r="G15" s="42"/>
      <c r="H15" s="42"/>
      <c r="I15" s="42"/>
      <c r="J15" s="42"/>
      <c r="K15" s="42"/>
      <c r="L15" s="42"/>
      <c r="M15" s="42"/>
      <c r="N15" s="42"/>
      <c r="O15" s="42"/>
      <c r="P15" s="42"/>
      <c r="Q15" s="42"/>
      <c r="R15" s="42"/>
      <c r="S15" s="42"/>
      <c r="T15" s="42"/>
    </row>
    <row r="16" spans="1:20">
      <c r="C16" s="42"/>
      <c r="D16" s="42"/>
      <c r="E16" s="42"/>
      <c r="F16" s="42"/>
      <c r="G16" s="42"/>
      <c r="H16" s="42"/>
      <c r="I16" s="42"/>
      <c r="J16" s="42"/>
      <c r="K16" s="42"/>
      <c r="L16" s="42"/>
      <c r="M16" s="42"/>
      <c r="N16" s="42"/>
      <c r="O16" s="42"/>
      <c r="P16" s="42"/>
      <c r="Q16" s="42"/>
      <c r="R16" s="42"/>
      <c r="S16" s="42"/>
      <c r="T16" s="42"/>
    </row>
    <row r="17" spans="3:20">
      <c r="C17" s="42"/>
      <c r="D17" s="42"/>
      <c r="E17" s="42"/>
      <c r="F17" s="42"/>
      <c r="G17" s="42"/>
      <c r="H17" s="42"/>
      <c r="I17" s="42"/>
      <c r="J17" s="42"/>
      <c r="K17" s="42"/>
      <c r="L17" s="42"/>
      <c r="M17" s="42"/>
      <c r="N17" s="42"/>
      <c r="O17" s="42"/>
      <c r="P17" s="42"/>
      <c r="Q17" s="42"/>
      <c r="R17" s="42"/>
      <c r="S17" s="42"/>
      <c r="T17" s="42"/>
    </row>
    <row r="18" spans="3:20">
      <c r="C18" s="42"/>
      <c r="D18" s="42"/>
      <c r="E18" s="42"/>
      <c r="F18" s="42"/>
      <c r="G18" s="42"/>
      <c r="H18" s="42"/>
      <c r="I18" s="42"/>
      <c r="J18" s="42"/>
      <c r="K18" s="42"/>
      <c r="L18" s="42"/>
      <c r="M18" s="42"/>
      <c r="N18" s="42"/>
      <c r="O18" s="42"/>
      <c r="P18" s="42"/>
      <c r="Q18" s="42"/>
      <c r="R18" s="42"/>
      <c r="S18" s="42"/>
      <c r="T18" s="42"/>
    </row>
    <row r="19" spans="3:20">
      <c r="C19" s="42"/>
      <c r="D19" s="42"/>
      <c r="E19" s="42"/>
      <c r="F19" s="42"/>
      <c r="G19" s="42"/>
      <c r="H19" s="42"/>
      <c r="I19" s="42"/>
      <c r="J19" s="42"/>
      <c r="K19" s="42"/>
      <c r="L19" s="42"/>
      <c r="M19" s="42"/>
      <c r="N19" s="42"/>
      <c r="O19" s="42"/>
      <c r="P19" s="42"/>
      <c r="Q19" s="42"/>
      <c r="R19" s="42"/>
      <c r="S19" s="42"/>
      <c r="T19" s="42"/>
    </row>
    <row r="20" spans="3:20">
      <c r="C20" s="42"/>
      <c r="D20" s="42"/>
      <c r="E20" s="42"/>
      <c r="F20" s="42"/>
      <c r="G20" s="42"/>
      <c r="H20" s="42"/>
      <c r="I20" s="42"/>
      <c r="J20" s="42"/>
      <c r="K20" s="42"/>
      <c r="L20" s="42"/>
      <c r="M20" s="42"/>
      <c r="N20" s="42"/>
      <c r="O20" s="42"/>
      <c r="P20" s="42"/>
      <c r="Q20" s="42"/>
      <c r="R20" s="42"/>
      <c r="S20" s="42"/>
      <c r="T20" s="42"/>
    </row>
    <row r="21" spans="3:20">
      <c r="C21" s="42"/>
      <c r="D21" s="42"/>
      <c r="E21" s="42"/>
      <c r="F21" s="42"/>
      <c r="G21" s="42"/>
      <c r="H21" s="42"/>
      <c r="I21" s="42"/>
      <c r="J21" s="42"/>
      <c r="K21" s="42"/>
      <c r="L21" s="42"/>
      <c r="M21" s="42"/>
      <c r="N21" s="42"/>
      <c r="O21" s="42"/>
      <c r="P21" s="42"/>
      <c r="Q21" s="42"/>
      <c r="R21" s="42"/>
      <c r="S21" s="42"/>
      <c r="T21" s="42"/>
    </row>
    <row r="22" spans="3:20">
      <c r="C22" s="42"/>
      <c r="D22" s="42"/>
      <c r="E22" s="42"/>
      <c r="F22" s="42"/>
      <c r="G22" s="42"/>
      <c r="H22" s="42"/>
      <c r="I22" s="42"/>
      <c r="J22" s="42"/>
      <c r="K22" s="42"/>
      <c r="L22" s="42"/>
      <c r="M22" s="42"/>
      <c r="N22" s="42"/>
      <c r="O22" s="42"/>
      <c r="P22" s="42"/>
      <c r="Q22" s="42"/>
      <c r="R22" s="42"/>
      <c r="S22" s="42"/>
      <c r="T22" s="42"/>
    </row>
    <row r="23" spans="3:20">
      <c r="C23" s="42"/>
      <c r="D23" s="42"/>
      <c r="E23" s="42"/>
      <c r="F23" s="42"/>
      <c r="G23" s="42"/>
      <c r="H23" s="42"/>
      <c r="I23" s="42"/>
      <c r="J23" s="42"/>
      <c r="K23" s="42"/>
      <c r="L23" s="42"/>
      <c r="M23" s="42"/>
      <c r="N23" s="42"/>
      <c r="O23" s="42"/>
      <c r="P23" s="42"/>
      <c r="Q23" s="42"/>
      <c r="R23" s="42"/>
      <c r="S23" s="42"/>
      <c r="T23" s="42"/>
    </row>
    <row r="24" spans="3:20">
      <c r="C24" s="42"/>
      <c r="D24" s="42"/>
      <c r="E24" s="42"/>
      <c r="F24" s="42"/>
      <c r="G24" s="42"/>
      <c r="H24" s="42"/>
      <c r="I24" s="42"/>
      <c r="J24" s="42"/>
      <c r="K24" s="42"/>
      <c r="L24" s="42"/>
      <c r="M24" s="42"/>
      <c r="N24" s="42"/>
      <c r="O24" s="42"/>
      <c r="P24" s="42"/>
      <c r="Q24" s="42"/>
      <c r="R24" s="42"/>
      <c r="S24" s="42"/>
      <c r="T24" s="42"/>
    </row>
    <row r="25" spans="3:20">
      <c r="C25" s="42"/>
      <c r="D25" s="42"/>
      <c r="E25" s="42"/>
      <c r="F25" s="42"/>
      <c r="G25" s="42"/>
      <c r="H25" s="42"/>
      <c r="I25" s="42"/>
      <c r="J25" s="42"/>
      <c r="K25" s="42"/>
      <c r="L25" s="42"/>
      <c r="M25" s="42"/>
      <c r="N25" s="42"/>
      <c r="O25" s="42"/>
      <c r="P25" s="42"/>
      <c r="Q25" s="42"/>
      <c r="R25" s="42"/>
      <c r="S25" s="42"/>
      <c r="T25" s="42"/>
    </row>
    <row r="26" spans="3:20">
      <c r="C26" s="42"/>
      <c r="D26" s="42"/>
      <c r="E26" s="42"/>
      <c r="F26" s="42"/>
      <c r="G26" s="42"/>
      <c r="H26" s="42"/>
      <c r="I26" s="42"/>
      <c r="J26" s="42"/>
      <c r="K26" s="42"/>
      <c r="L26" s="42"/>
      <c r="M26" s="42"/>
      <c r="N26" s="42"/>
      <c r="O26" s="42"/>
      <c r="P26" s="42"/>
      <c r="Q26" s="42"/>
      <c r="R26" s="42"/>
      <c r="S26" s="42"/>
      <c r="T26" s="42"/>
    </row>
    <row r="27" spans="3:20">
      <c r="C27" s="42"/>
      <c r="D27" s="42"/>
      <c r="E27" s="42"/>
      <c r="F27" s="42"/>
      <c r="G27" s="42"/>
      <c r="H27" s="42"/>
      <c r="I27" s="42"/>
      <c r="J27" s="42"/>
      <c r="K27" s="42"/>
      <c r="L27" s="42"/>
      <c r="M27" s="42"/>
      <c r="N27" s="42"/>
      <c r="O27" s="42"/>
      <c r="P27" s="42"/>
      <c r="Q27" s="42"/>
      <c r="R27" s="42"/>
      <c r="S27" s="42"/>
      <c r="T27" s="42"/>
    </row>
    <row r="28" spans="3:20">
      <c r="C28" s="42"/>
      <c r="D28" s="42"/>
      <c r="E28" s="42"/>
      <c r="F28" s="42"/>
      <c r="G28" s="42"/>
      <c r="H28" s="42"/>
      <c r="I28" s="42"/>
      <c r="J28" s="42"/>
      <c r="K28" s="42"/>
      <c r="L28" s="42"/>
      <c r="M28" s="42"/>
      <c r="N28" s="42"/>
      <c r="O28" s="42"/>
      <c r="P28" s="42"/>
      <c r="Q28" s="42"/>
      <c r="R28" s="42"/>
      <c r="S28" s="42"/>
      <c r="T28" s="42"/>
    </row>
    <row r="29" spans="3:20">
      <c r="C29" s="42"/>
      <c r="D29" s="42"/>
      <c r="E29" s="42"/>
      <c r="F29" s="42"/>
      <c r="G29" s="42"/>
      <c r="H29" s="42"/>
      <c r="I29" s="42"/>
      <c r="J29" s="42"/>
      <c r="K29" s="42"/>
      <c r="L29" s="42"/>
      <c r="M29" s="42"/>
      <c r="N29" s="42"/>
      <c r="O29" s="42"/>
      <c r="P29" s="42"/>
      <c r="Q29" s="42"/>
      <c r="R29" s="42"/>
      <c r="S29" s="42"/>
      <c r="T29" s="42"/>
    </row>
    <row r="30" spans="3:20">
      <c r="C30" s="42"/>
      <c r="D30" s="42"/>
      <c r="E30" s="42"/>
      <c r="F30" s="42"/>
      <c r="G30" s="42"/>
      <c r="H30" s="42"/>
      <c r="I30" s="42"/>
      <c r="J30" s="42"/>
      <c r="K30" s="42"/>
      <c r="L30" s="42"/>
      <c r="M30" s="42"/>
      <c r="N30" s="42"/>
      <c r="O30" s="42"/>
      <c r="P30" s="42"/>
      <c r="Q30" s="42"/>
      <c r="R30" s="42"/>
      <c r="S30" s="42"/>
      <c r="T30" s="42"/>
    </row>
    <row r="31" spans="3:20">
      <c r="C31" s="42"/>
      <c r="D31" s="42"/>
      <c r="E31" s="42"/>
      <c r="F31" s="42"/>
      <c r="G31" s="42"/>
      <c r="H31" s="42"/>
      <c r="I31" s="42"/>
      <c r="J31" s="42"/>
      <c r="K31" s="42"/>
      <c r="L31" s="42"/>
      <c r="M31" s="42"/>
      <c r="N31" s="42"/>
      <c r="O31" s="42"/>
      <c r="P31" s="42"/>
      <c r="Q31" s="42"/>
      <c r="R31" s="42"/>
      <c r="S31" s="42"/>
      <c r="T31" s="42"/>
    </row>
    <row r="32" spans="3:20">
      <c r="C32" s="42"/>
      <c r="D32" s="42"/>
      <c r="E32" s="42"/>
      <c r="F32" s="42"/>
      <c r="G32" s="42"/>
      <c r="H32" s="42"/>
      <c r="I32" s="42"/>
      <c r="J32" s="42"/>
      <c r="K32" s="42"/>
      <c r="L32" s="42"/>
      <c r="M32" s="42"/>
      <c r="N32" s="42"/>
      <c r="O32" s="42"/>
      <c r="P32" s="42"/>
      <c r="Q32" s="42"/>
      <c r="R32" s="42"/>
      <c r="S32" s="42"/>
      <c r="T32" s="42"/>
    </row>
    <row r="33" spans="3:20">
      <c r="C33" s="42"/>
      <c r="D33" s="42"/>
      <c r="E33" s="42"/>
      <c r="F33" s="42"/>
      <c r="G33" s="42"/>
      <c r="H33" s="42"/>
      <c r="I33" s="42"/>
      <c r="J33" s="42"/>
      <c r="K33" s="42"/>
      <c r="L33" s="42"/>
      <c r="M33" s="42"/>
      <c r="N33" s="42"/>
      <c r="O33" s="42"/>
      <c r="P33" s="42"/>
      <c r="Q33" s="42"/>
      <c r="R33" s="42"/>
      <c r="S33" s="42"/>
      <c r="T33" s="42"/>
    </row>
    <row r="34" spans="3:20">
      <c r="C34" s="42"/>
      <c r="D34" s="42"/>
      <c r="E34" s="42"/>
      <c r="F34" s="42"/>
      <c r="G34" s="42"/>
      <c r="H34" s="42"/>
      <c r="I34" s="42"/>
      <c r="J34" s="42"/>
      <c r="K34" s="42"/>
      <c r="L34" s="42"/>
      <c r="M34" s="42"/>
      <c r="N34" s="42"/>
      <c r="O34" s="42"/>
      <c r="P34" s="42"/>
      <c r="Q34" s="42"/>
      <c r="R34" s="42"/>
      <c r="S34" s="42"/>
      <c r="T34" s="42"/>
    </row>
    <row r="35" spans="3:20">
      <c r="C35" s="42"/>
      <c r="D35" s="42"/>
      <c r="E35" s="42"/>
      <c r="F35" s="42"/>
      <c r="G35" s="42"/>
      <c r="H35" s="42"/>
      <c r="I35" s="42"/>
      <c r="J35" s="42"/>
      <c r="K35" s="42"/>
      <c r="L35" s="42"/>
      <c r="M35" s="42"/>
      <c r="N35" s="42"/>
      <c r="O35" s="42"/>
      <c r="P35" s="42"/>
      <c r="Q35" s="42"/>
      <c r="R35" s="42"/>
      <c r="S35" s="42"/>
      <c r="T35" s="42"/>
    </row>
    <row r="36" spans="3:20">
      <c r="C36" s="42"/>
      <c r="D36" s="42"/>
      <c r="E36" s="42"/>
      <c r="F36" s="42"/>
      <c r="G36" s="42"/>
      <c r="H36" s="42"/>
      <c r="I36" s="42"/>
      <c r="J36" s="42"/>
      <c r="K36" s="42"/>
      <c r="L36" s="42"/>
      <c r="M36" s="42"/>
      <c r="N36" s="42"/>
      <c r="O36" s="42"/>
      <c r="P36" s="42"/>
      <c r="Q36" s="42"/>
      <c r="R36" s="42"/>
      <c r="S36" s="42"/>
      <c r="T36" s="42"/>
    </row>
    <row r="37" spans="3:20">
      <c r="C37" s="42"/>
      <c r="D37" s="42"/>
      <c r="E37" s="42"/>
      <c r="F37" s="42"/>
      <c r="G37" s="42"/>
      <c r="H37" s="42"/>
      <c r="I37" s="42"/>
      <c r="J37" s="42"/>
      <c r="K37" s="42"/>
      <c r="L37" s="42"/>
      <c r="M37" s="42"/>
      <c r="N37" s="42"/>
      <c r="O37" s="42"/>
      <c r="P37" s="42"/>
      <c r="Q37" s="42"/>
      <c r="R37" s="42"/>
      <c r="S37" s="42"/>
      <c r="T37" s="42"/>
    </row>
    <row r="38" spans="3:20">
      <c r="C38" s="42"/>
      <c r="D38" s="42"/>
      <c r="E38" s="42"/>
      <c r="F38" s="42"/>
      <c r="G38" s="42"/>
      <c r="H38" s="42"/>
      <c r="I38" s="42"/>
      <c r="J38" s="42"/>
      <c r="K38" s="42"/>
      <c r="L38" s="42"/>
      <c r="M38" s="42"/>
      <c r="N38" s="42"/>
      <c r="O38" s="42"/>
      <c r="P38" s="42"/>
      <c r="Q38" s="42"/>
      <c r="R38" s="42"/>
      <c r="S38" s="42"/>
      <c r="T38" s="42"/>
    </row>
    <row r="39" spans="3:20">
      <c r="C39" s="42"/>
      <c r="D39" s="42"/>
      <c r="E39" s="42"/>
      <c r="F39" s="42"/>
      <c r="G39" s="42"/>
      <c r="H39" s="42"/>
      <c r="I39" s="42"/>
      <c r="J39" s="42"/>
      <c r="K39" s="42"/>
      <c r="L39" s="42"/>
      <c r="M39" s="42"/>
      <c r="N39" s="42"/>
      <c r="O39" s="42"/>
      <c r="P39" s="42"/>
      <c r="Q39" s="42"/>
      <c r="R39" s="42"/>
      <c r="S39" s="42"/>
      <c r="T39" s="42"/>
    </row>
    <row r="40" spans="3:20">
      <c r="C40" s="42"/>
      <c r="D40" s="42"/>
      <c r="E40" s="42"/>
      <c r="F40" s="42"/>
      <c r="G40" s="42"/>
      <c r="H40" s="42"/>
      <c r="I40" s="42"/>
      <c r="J40" s="42"/>
      <c r="K40" s="42"/>
      <c r="L40" s="42"/>
      <c r="M40" s="42"/>
      <c r="S40" s="42"/>
      <c r="T40" s="42"/>
    </row>
    <row r="41" spans="3:20">
      <c r="C41" s="42"/>
      <c r="D41" s="42"/>
      <c r="E41" s="42"/>
      <c r="F41" s="42"/>
      <c r="G41" s="42"/>
      <c r="H41" s="42"/>
      <c r="I41" s="42"/>
      <c r="J41" s="42"/>
      <c r="K41" s="42"/>
      <c r="L41" s="42"/>
      <c r="M41" s="42"/>
      <c r="S41" s="42"/>
      <c r="T41" s="42"/>
    </row>
    <row r="42" spans="3:20">
      <c r="C42" s="42"/>
      <c r="D42" s="42"/>
      <c r="E42" s="42"/>
      <c r="F42" s="42"/>
      <c r="G42" s="42"/>
      <c r="H42" s="42"/>
      <c r="I42" s="42"/>
      <c r="J42" s="42"/>
      <c r="K42" s="42"/>
      <c r="L42" s="42"/>
      <c r="M42" s="42"/>
      <c r="S42" s="42"/>
      <c r="T42" s="42"/>
    </row>
    <row r="43" spans="3:20">
      <c r="C43" s="42"/>
      <c r="D43" s="42"/>
      <c r="E43" s="42"/>
      <c r="F43" s="42"/>
      <c r="G43" s="42"/>
      <c r="H43" s="42"/>
      <c r="I43" s="42"/>
      <c r="J43" s="42"/>
      <c r="K43" s="42"/>
      <c r="L43" s="42"/>
      <c r="M43" s="42"/>
      <c r="S43" s="42"/>
      <c r="T43" s="42"/>
    </row>
    <row r="44" spans="3:20">
      <c r="C44" s="42"/>
      <c r="D44" s="42"/>
      <c r="E44" s="42"/>
      <c r="F44" s="42"/>
      <c r="G44" s="42"/>
      <c r="H44" s="42"/>
      <c r="I44" s="42"/>
      <c r="J44" s="42"/>
      <c r="K44" s="42"/>
      <c r="L44" s="42"/>
      <c r="M44" s="42"/>
      <c r="S44" s="42"/>
      <c r="T44" s="42"/>
    </row>
    <row r="45" spans="3:20">
      <c r="C45" s="42"/>
      <c r="D45" s="42"/>
      <c r="E45" s="42"/>
      <c r="F45" s="42"/>
      <c r="G45" s="42"/>
      <c r="H45" s="42"/>
      <c r="I45" s="42"/>
      <c r="J45" s="42"/>
      <c r="K45" s="42"/>
      <c r="L45" s="42"/>
      <c r="M45" s="42"/>
      <c r="S45" s="42"/>
      <c r="T45" s="42"/>
    </row>
    <row r="46" spans="3:20">
      <c r="C46" s="42"/>
      <c r="D46" s="42"/>
      <c r="E46" s="42"/>
      <c r="F46" s="42"/>
      <c r="G46" s="42"/>
      <c r="H46" s="42"/>
      <c r="I46" s="42"/>
      <c r="J46" s="42"/>
      <c r="K46" s="42"/>
      <c r="L46" s="42"/>
      <c r="M46" s="42"/>
      <c r="S46" s="42"/>
      <c r="T46" s="42"/>
    </row>
    <row r="47" spans="3:20">
      <c r="C47" s="42"/>
      <c r="D47" s="42"/>
      <c r="E47" s="42"/>
      <c r="F47" s="42"/>
      <c r="G47" s="42"/>
      <c r="H47" s="42"/>
      <c r="I47" s="42"/>
      <c r="J47" s="42"/>
      <c r="K47" s="42"/>
      <c r="L47" s="42"/>
      <c r="M47" s="42"/>
      <c r="S47" s="42"/>
      <c r="T47" s="42"/>
    </row>
    <row r="48" spans="3:20">
      <c r="C48" s="42"/>
      <c r="D48" s="42"/>
      <c r="E48" s="42"/>
      <c r="F48" s="42"/>
      <c r="G48" s="42"/>
      <c r="H48" s="42"/>
      <c r="I48" s="42"/>
      <c r="J48" s="42"/>
      <c r="K48" s="42"/>
      <c r="L48" s="42"/>
      <c r="M48" s="42"/>
      <c r="S48" s="42"/>
      <c r="T48" s="42"/>
    </row>
    <row r="49" spans="3:20">
      <c r="C49" s="42"/>
      <c r="D49" s="42"/>
      <c r="E49" s="42"/>
      <c r="F49" s="42"/>
      <c r="G49" s="42"/>
      <c r="H49" s="42"/>
      <c r="I49" s="42"/>
      <c r="J49" s="42"/>
      <c r="K49" s="42"/>
      <c r="L49" s="42"/>
      <c r="M49" s="42"/>
      <c r="S49" s="42"/>
      <c r="T49" s="42"/>
    </row>
    <row r="50" spans="3:20">
      <c r="C50" s="42"/>
      <c r="D50" s="42"/>
      <c r="E50" s="42"/>
      <c r="F50" s="42"/>
      <c r="G50" s="42"/>
      <c r="H50" s="42"/>
      <c r="I50" s="42"/>
      <c r="J50" s="42"/>
      <c r="K50" s="42"/>
      <c r="L50" s="42"/>
      <c r="M50" s="42"/>
      <c r="S50" s="42"/>
      <c r="T50" s="42"/>
    </row>
    <row r="51" spans="3:20">
      <c r="C51" s="42"/>
      <c r="D51" s="42"/>
      <c r="E51" s="42"/>
      <c r="F51" s="42"/>
      <c r="G51" s="42"/>
      <c r="H51" s="42"/>
      <c r="I51" s="42"/>
      <c r="J51" s="42"/>
      <c r="K51" s="42"/>
      <c r="L51" s="42"/>
      <c r="M51" s="42"/>
      <c r="S51" s="42"/>
      <c r="T51" s="42"/>
    </row>
    <row r="52" spans="3:20">
      <c r="C52" s="42"/>
      <c r="D52" s="42"/>
      <c r="E52" s="42"/>
      <c r="F52" s="42"/>
      <c r="G52" s="42"/>
      <c r="H52" s="42"/>
      <c r="I52" s="42"/>
      <c r="J52" s="42"/>
      <c r="K52" s="42"/>
      <c r="L52" s="42"/>
      <c r="M52" s="42"/>
      <c r="S52" s="42"/>
      <c r="T52" s="42"/>
    </row>
    <row r="53" spans="3:20">
      <c r="C53" s="42"/>
      <c r="D53" s="42"/>
      <c r="E53" s="42"/>
      <c r="F53" s="42"/>
      <c r="G53" s="42"/>
      <c r="H53" s="42"/>
      <c r="I53" s="42"/>
      <c r="J53" s="42"/>
      <c r="K53" s="42"/>
      <c r="L53" s="42"/>
      <c r="M53" s="42"/>
      <c r="S53" s="42"/>
      <c r="T53" s="42"/>
    </row>
    <row r="54" spans="3:20">
      <c r="C54" s="42"/>
      <c r="D54" s="42"/>
      <c r="E54" s="42"/>
      <c r="F54" s="42"/>
      <c r="G54" s="42"/>
      <c r="H54" s="42"/>
      <c r="I54" s="42"/>
      <c r="J54" s="42"/>
      <c r="K54" s="42"/>
      <c r="L54" s="42"/>
      <c r="M54" s="42"/>
      <c r="S54" s="42"/>
      <c r="T54" s="42"/>
    </row>
    <row r="55" spans="3:20">
      <c r="C55" s="42"/>
      <c r="D55" s="42"/>
      <c r="E55" s="42"/>
      <c r="F55" s="42"/>
      <c r="G55" s="42"/>
      <c r="H55" s="42"/>
      <c r="I55" s="42"/>
      <c r="J55" s="42"/>
      <c r="K55" s="42"/>
      <c r="L55" s="42"/>
      <c r="M55" s="42"/>
      <c r="S55" s="42"/>
      <c r="T55" s="42"/>
    </row>
    <row r="56" spans="3:20">
      <c r="C56" s="42"/>
      <c r="D56" s="42"/>
      <c r="E56" s="42"/>
      <c r="F56" s="42"/>
      <c r="G56" s="42"/>
      <c r="H56" s="42"/>
      <c r="I56" s="42"/>
      <c r="J56" s="42"/>
      <c r="K56" s="42"/>
      <c r="L56" s="42"/>
      <c r="M56" s="42"/>
      <c r="S56" s="42"/>
      <c r="T56" s="42"/>
    </row>
    <row r="57" spans="3:20">
      <c r="C57" s="42"/>
      <c r="D57" s="42"/>
      <c r="E57" s="42"/>
      <c r="F57" s="42"/>
      <c r="G57" s="42"/>
      <c r="H57" s="42"/>
      <c r="I57" s="42"/>
      <c r="J57" s="42"/>
      <c r="K57" s="42"/>
      <c r="L57" s="42"/>
      <c r="M57" s="42"/>
      <c r="S57" s="42"/>
      <c r="T57" s="42"/>
    </row>
    <row r="58" spans="3:20">
      <c r="C58" s="42"/>
      <c r="D58" s="42"/>
      <c r="E58" s="42"/>
      <c r="F58" s="42"/>
      <c r="G58" s="42"/>
      <c r="H58" s="42"/>
      <c r="I58" s="42"/>
      <c r="J58" s="42"/>
      <c r="K58" s="42"/>
      <c r="L58" s="42"/>
      <c r="M58" s="42"/>
      <c r="S58" s="42"/>
      <c r="T58" s="42"/>
    </row>
    <row r="59" spans="3:20">
      <c r="C59" s="42"/>
      <c r="D59" s="42"/>
      <c r="E59" s="42"/>
      <c r="F59" s="42"/>
      <c r="G59" s="42"/>
      <c r="H59" s="42"/>
      <c r="I59" s="42"/>
      <c r="J59" s="42"/>
      <c r="K59" s="42"/>
      <c r="L59" s="42"/>
      <c r="M59" s="42"/>
      <c r="S59" s="42"/>
      <c r="T59" s="42"/>
    </row>
    <row r="60" spans="3:20">
      <c r="C60" s="42"/>
      <c r="D60" s="42"/>
      <c r="E60" s="42"/>
      <c r="F60" s="42"/>
      <c r="G60" s="42"/>
      <c r="H60" s="42"/>
      <c r="I60" s="42"/>
      <c r="J60" s="42"/>
      <c r="K60" s="42"/>
      <c r="L60" s="42"/>
      <c r="M60" s="42"/>
      <c r="S60" s="42"/>
      <c r="T60" s="42"/>
    </row>
    <row r="61" spans="3:20">
      <c r="C61" s="42"/>
      <c r="D61" s="42"/>
      <c r="E61" s="42"/>
      <c r="F61" s="42"/>
      <c r="G61" s="42"/>
      <c r="H61" s="42"/>
      <c r="I61" s="42"/>
      <c r="J61" s="42"/>
      <c r="K61" s="42"/>
      <c r="L61" s="42"/>
      <c r="M61" s="42"/>
      <c r="S61" s="42"/>
      <c r="T61" s="42"/>
    </row>
    <row r="62" spans="3:20">
      <c r="C62" s="43"/>
      <c r="D62" s="42"/>
      <c r="E62" s="42"/>
      <c r="F62" s="43"/>
      <c r="G62" s="42"/>
      <c r="H62" s="42"/>
      <c r="I62" s="43"/>
      <c r="J62" s="42"/>
      <c r="K62" s="42"/>
      <c r="L62" s="42"/>
      <c r="M62" s="42"/>
      <c r="S62" s="43"/>
      <c r="T62" s="43"/>
    </row>
    <row r="63" spans="3:20">
      <c r="C63" s="43"/>
      <c r="D63" s="42"/>
      <c r="E63" s="42"/>
      <c r="F63" s="43"/>
      <c r="G63" s="42"/>
      <c r="H63" s="42"/>
      <c r="I63" s="43"/>
      <c r="J63" s="42"/>
      <c r="K63" s="42"/>
      <c r="L63" s="42"/>
      <c r="M63" s="42"/>
      <c r="S63" s="43"/>
      <c r="T63" s="43"/>
    </row>
    <row r="64" spans="3:20">
      <c r="C64" s="43"/>
      <c r="D64" s="42"/>
      <c r="E64" s="42"/>
      <c r="F64" s="43"/>
      <c r="G64" s="42"/>
      <c r="H64" s="42"/>
      <c r="I64" s="43"/>
      <c r="J64" s="42"/>
      <c r="K64" s="42"/>
      <c r="L64" s="42"/>
      <c r="M64" s="42"/>
      <c r="S64" s="43"/>
      <c r="T64" s="43"/>
    </row>
    <row r="65" spans="3:20">
      <c r="C65" s="43"/>
      <c r="D65" s="42"/>
      <c r="E65" s="42"/>
      <c r="F65" s="43"/>
      <c r="G65" s="42"/>
      <c r="H65" s="42"/>
      <c r="I65" s="43"/>
      <c r="J65" s="42"/>
      <c r="K65" s="42"/>
      <c r="L65" s="42"/>
      <c r="M65" s="42"/>
      <c r="S65" s="43"/>
      <c r="T65" s="43"/>
    </row>
    <row r="66" spans="3:20">
      <c r="C66" s="43"/>
      <c r="D66" s="42"/>
      <c r="E66" s="42"/>
      <c r="F66" s="43"/>
      <c r="G66" s="42"/>
      <c r="H66" s="42"/>
      <c r="I66" s="43"/>
      <c r="J66" s="42"/>
      <c r="K66" s="42"/>
      <c r="L66" s="42"/>
      <c r="M66" s="42"/>
      <c r="S66" s="43"/>
      <c r="T66" s="43"/>
    </row>
    <row r="67" spans="3:20">
      <c r="C67" s="43"/>
      <c r="D67" s="42"/>
      <c r="E67" s="42"/>
      <c r="F67" s="43"/>
      <c r="G67" s="42"/>
      <c r="H67" s="42"/>
      <c r="I67" s="43"/>
      <c r="J67" s="42"/>
      <c r="K67" s="42"/>
      <c r="L67" s="42"/>
      <c r="M67" s="42"/>
      <c r="S67" s="43"/>
      <c r="T67" s="43"/>
    </row>
    <row r="68" spans="3:20">
      <c r="C68" s="43"/>
      <c r="D68" s="42"/>
      <c r="E68" s="42"/>
      <c r="F68" s="43"/>
      <c r="G68" s="42"/>
      <c r="H68" s="42"/>
      <c r="I68" s="43"/>
      <c r="J68" s="42"/>
      <c r="K68" s="42"/>
      <c r="L68" s="42"/>
      <c r="M68" s="42"/>
      <c r="S68" s="43"/>
      <c r="T68" s="43"/>
    </row>
    <row r="69" spans="3:20">
      <c r="C69" s="43"/>
      <c r="D69" s="42"/>
      <c r="E69" s="42"/>
      <c r="F69" s="43"/>
      <c r="G69" s="42"/>
      <c r="H69" s="42"/>
      <c r="I69" s="43"/>
      <c r="J69" s="42"/>
      <c r="K69" s="42"/>
      <c r="L69" s="42"/>
      <c r="M69" s="42"/>
      <c r="S69" s="43"/>
      <c r="T69" s="43"/>
    </row>
    <row r="70" spans="3:20">
      <c r="C70" s="43"/>
      <c r="D70" s="42"/>
      <c r="E70" s="42"/>
      <c r="F70" s="43"/>
      <c r="G70" s="42"/>
      <c r="H70" s="42"/>
      <c r="I70" s="43"/>
      <c r="J70" s="42"/>
      <c r="K70" s="42"/>
      <c r="L70" s="42"/>
      <c r="M70" s="42"/>
      <c r="S70" s="43"/>
      <c r="T70" s="43"/>
    </row>
    <row r="71" spans="3:20">
      <c r="C71" s="43"/>
      <c r="D71" s="42"/>
      <c r="E71" s="42"/>
      <c r="F71" s="43"/>
      <c r="G71" s="42"/>
      <c r="H71" s="42"/>
      <c r="I71" s="43"/>
      <c r="J71" s="42"/>
      <c r="K71" s="42"/>
      <c r="L71" s="42"/>
      <c r="M71" s="42"/>
      <c r="S71" s="43"/>
      <c r="T71" s="43"/>
    </row>
    <row r="72" spans="3:20">
      <c r="C72" s="43"/>
      <c r="D72" s="42"/>
      <c r="E72" s="42"/>
      <c r="F72" s="43"/>
      <c r="G72" s="42"/>
      <c r="H72" s="42"/>
      <c r="I72" s="43"/>
      <c r="J72" s="42"/>
      <c r="K72" s="42"/>
      <c r="L72" s="42"/>
      <c r="M72" s="42"/>
      <c r="S72" s="43"/>
      <c r="T72" s="43"/>
    </row>
    <row r="73" spans="3:20">
      <c r="C73" s="43"/>
      <c r="D73" s="42"/>
      <c r="E73" s="42"/>
      <c r="F73" s="43"/>
      <c r="G73" s="42"/>
      <c r="H73" s="42"/>
      <c r="I73" s="43"/>
      <c r="J73" s="42"/>
      <c r="K73" s="42"/>
      <c r="L73" s="42"/>
      <c r="M73" s="42"/>
      <c r="S73" s="43"/>
      <c r="T73" s="43"/>
    </row>
    <row r="74" spans="3:20">
      <c r="C74" s="43"/>
      <c r="D74" s="42"/>
      <c r="E74" s="42"/>
      <c r="F74" s="43"/>
      <c r="G74" s="42"/>
      <c r="H74" s="42"/>
      <c r="I74" s="43"/>
      <c r="J74" s="42"/>
      <c r="K74" s="42"/>
      <c r="L74" s="42"/>
      <c r="M74" s="42"/>
      <c r="S74" s="43"/>
      <c r="T74" s="43"/>
    </row>
    <row r="75" spans="3:20">
      <c r="C75" s="43"/>
      <c r="D75" s="42"/>
      <c r="E75" s="42"/>
      <c r="F75" s="43"/>
      <c r="G75" s="42"/>
      <c r="H75" s="42"/>
      <c r="I75" s="43"/>
      <c r="J75" s="42"/>
      <c r="K75" s="42"/>
      <c r="L75" s="42"/>
      <c r="M75" s="42"/>
      <c r="S75" s="43"/>
      <c r="T75" s="43"/>
    </row>
    <row r="76" spans="3:20">
      <c r="C76" s="43"/>
      <c r="D76" s="42"/>
      <c r="E76" s="42"/>
      <c r="F76" s="43"/>
      <c r="G76" s="42"/>
      <c r="H76" s="42"/>
      <c r="I76" s="43"/>
      <c r="J76" s="42"/>
      <c r="K76" s="42"/>
      <c r="L76" s="42"/>
      <c r="M76" s="42"/>
      <c r="S76" s="43"/>
      <c r="T76" s="43"/>
    </row>
    <row r="77" spans="3:20">
      <c r="C77" s="43"/>
      <c r="D77" s="42"/>
      <c r="E77" s="42"/>
      <c r="F77" s="43"/>
      <c r="G77" s="42"/>
      <c r="H77" s="42"/>
      <c r="I77" s="43"/>
      <c r="J77" s="42"/>
      <c r="K77" s="42"/>
      <c r="L77" s="42"/>
      <c r="M77" s="42"/>
      <c r="S77" s="43"/>
      <c r="T77" s="43"/>
    </row>
    <row r="78" spans="3:20">
      <c r="C78" s="43"/>
      <c r="D78" s="42"/>
      <c r="E78" s="42"/>
      <c r="F78" s="43"/>
      <c r="G78" s="42"/>
      <c r="H78" s="42"/>
      <c r="I78" s="43"/>
      <c r="J78" s="42"/>
      <c r="K78" s="42"/>
      <c r="L78" s="42"/>
      <c r="M78" s="42"/>
      <c r="S78" s="43"/>
      <c r="T78" s="43"/>
    </row>
    <row r="79" spans="3:20">
      <c r="C79" s="43"/>
      <c r="D79" s="42"/>
      <c r="E79" s="42"/>
      <c r="F79" s="43"/>
      <c r="G79" s="42"/>
      <c r="H79" s="42"/>
      <c r="I79" s="43"/>
      <c r="J79" s="42"/>
      <c r="K79" s="42"/>
      <c r="L79" s="42"/>
      <c r="M79" s="42"/>
      <c r="S79" s="43"/>
      <c r="T79" s="43"/>
    </row>
    <row r="80" spans="3:20">
      <c r="C80" s="43"/>
      <c r="D80" s="42"/>
      <c r="E80" s="42"/>
      <c r="F80" s="43"/>
      <c r="G80" s="42"/>
      <c r="H80" s="42"/>
      <c r="I80" s="43"/>
      <c r="J80" s="42"/>
      <c r="K80" s="42"/>
      <c r="L80" s="42"/>
      <c r="M80" s="42"/>
      <c r="S80" s="43"/>
      <c r="T80" s="43"/>
    </row>
    <row r="81" spans="3:20">
      <c r="C81" s="43"/>
      <c r="D81" s="42"/>
      <c r="E81" s="42"/>
      <c r="F81" s="43"/>
      <c r="G81" s="42"/>
      <c r="H81" s="42"/>
      <c r="I81" s="43"/>
      <c r="J81" s="42"/>
      <c r="K81" s="42"/>
      <c r="L81" s="42"/>
      <c r="M81" s="42"/>
      <c r="S81" s="43"/>
      <c r="T81" s="43"/>
    </row>
    <row r="82" spans="3:20">
      <c r="C82" s="43"/>
      <c r="D82" s="42"/>
      <c r="E82" s="42"/>
      <c r="F82" s="43"/>
      <c r="G82" s="42"/>
      <c r="H82" s="42"/>
      <c r="I82" s="43"/>
      <c r="J82" s="42"/>
      <c r="K82" s="42"/>
      <c r="L82" s="42"/>
      <c r="M82" s="42"/>
      <c r="S82" s="43"/>
      <c r="T82" s="43"/>
    </row>
    <row r="83" spans="3:20">
      <c r="C83" s="43"/>
      <c r="D83" s="42"/>
      <c r="E83" s="42"/>
      <c r="F83" s="43"/>
      <c r="G83" s="42"/>
      <c r="H83" s="42"/>
      <c r="I83" s="43"/>
      <c r="J83" s="42"/>
      <c r="K83" s="42"/>
      <c r="L83" s="42"/>
      <c r="M83" s="42"/>
      <c r="S83" s="43"/>
      <c r="T83" s="43"/>
    </row>
    <row r="84" spans="3:20">
      <c r="C84" s="43"/>
      <c r="D84" s="42"/>
      <c r="E84" s="42"/>
      <c r="F84" s="43"/>
      <c r="G84" s="42"/>
      <c r="H84" s="42"/>
      <c r="I84" s="43"/>
      <c r="J84" s="42"/>
      <c r="K84" s="42"/>
      <c r="L84" s="42"/>
      <c r="M84" s="42"/>
      <c r="S84" s="43"/>
      <c r="T84" s="43"/>
    </row>
    <row r="85" spans="3:20">
      <c r="C85" s="43"/>
      <c r="D85" s="42"/>
      <c r="E85" s="42"/>
      <c r="F85" s="43"/>
      <c r="G85" s="42"/>
      <c r="H85" s="42"/>
      <c r="I85" s="43"/>
      <c r="J85" s="42"/>
      <c r="K85" s="42"/>
      <c r="L85" s="42"/>
      <c r="M85" s="42"/>
      <c r="S85" s="43"/>
      <c r="T85" s="43"/>
    </row>
    <row r="86" spans="3:20">
      <c r="C86" s="43"/>
      <c r="D86" s="42"/>
      <c r="E86" s="42"/>
      <c r="F86" s="43"/>
      <c r="G86" s="42"/>
      <c r="H86" s="42"/>
      <c r="I86" s="43"/>
      <c r="J86" s="42"/>
      <c r="K86" s="42"/>
      <c r="L86" s="42"/>
      <c r="M86" s="42"/>
      <c r="S86" s="43"/>
      <c r="T86" s="43"/>
    </row>
    <row r="87" spans="3:20">
      <c r="C87" s="43"/>
      <c r="D87" s="42"/>
      <c r="E87" s="42"/>
      <c r="F87" s="43"/>
      <c r="G87" s="42"/>
      <c r="H87" s="42"/>
      <c r="I87" s="43"/>
      <c r="J87" s="42"/>
      <c r="K87" s="42"/>
      <c r="L87" s="42"/>
      <c r="M87" s="42"/>
      <c r="S87" s="43"/>
      <c r="T87" s="43"/>
    </row>
    <row r="88" spans="3:20">
      <c r="C88" s="43"/>
      <c r="D88" s="42"/>
      <c r="E88" s="42"/>
      <c r="F88" s="43"/>
      <c r="G88" s="42"/>
      <c r="H88" s="42"/>
      <c r="I88" s="43"/>
      <c r="J88" s="42"/>
      <c r="K88" s="42"/>
      <c r="L88" s="42"/>
      <c r="M88" s="42"/>
      <c r="S88" s="43"/>
      <c r="T88" s="43"/>
    </row>
    <row r="89" spans="3:20">
      <c r="C89" s="43"/>
      <c r="D89" s="42"/>
      <c r="E89" s="42"/>
      <c r="F89" s="43"/>
      <c r="G89" s="42"/>
      <c r="H89" s="42"/>
      <c r="I89" s="43"/>
      <c r="J89" s="42"/>
      <c r="K89" s="42"/>
      <c r="L89" s="42"/>
      <c r="M89" s="42"/>
      <c r="S89" s="43"/>
      <c r="T89" s="43"/>
    </row>
    <row r="90" spans="3:20">
      <c r="C90" s="43"/>
      <c r="D90" s="42"/>
      <c r="E90" s="42"/>
      <c r="F90" s="43"/>
      <c r="G90" s="42"/>
      <c r="H90" s="42"/>
      <c r="I90" s="43"/>
      <c r="J90" s="42"/>
      <c r="K90" s="42"/>
      <c r="L90" s="42"/>
      <c r="M90" s="42"/>
      <c r="S90" s="43"/>
      <c r="T90" s="43"/>
    </row>
    <row r="91" spans="3:20">
      <c r="C91" s="43"/>
      <c r="D91" s="42"/>
      <c r="E91" s="42"/>
      <c r="F91" s="43"/>
      <c r="G91" s="42"/>
      <c r="H91" s="42"/>
      <c r="I91" s="43"/>
      <c r="J91" s="42"/>
      <c r="K91" s="42"/>
      <c r="L91" s="42"/>
      <c r="M91" s="42"/>
      <c r="S91" s="43"/>
      <c r="T91" s="43"/>
    </row>
    <row r="92" spans="3:20">
      <c r="C92" s="43"/>
      <c r="D92" s="42"/>
      <c r="E92" s="42"/>
      <c r="F92" s="43"/>
      <c r="G92" s="42"/>
      <c r="H92" s="42"/>
      <c r="I92" s="43"/>
      <c r="J92" s="42"/>
      <c r="K92" s="42"/>
      <c r="L92" s="42"/>
      <c r="M92" s="42"/>
      <c r="S92" s="43"/>
      <c r="T92" s="43"/>
    </row>
    <row r="93" spans="3:20">
      <c r="C93" s="43"/>
      <c r="D93" s="42"/>
      <c r="E93" s="42"/>
      <c r="F93" s="43"/>
      <c r="G93" s="42"/>
      <c r="H93" s="42"/>
      <c r="I93" s="43"/>
      <c r="J93" s="42"/>
      <c r="K93" s="42"/>
      <c r="L93" s="42"/>
      <c r="M93" s="42"/>
      <c r="S93" s="43"/>
      <c r="T93" s="43"/>
    </row>
    <row r="94" spans="3:20">
      <c r="C94" s="43"/>
      <c r="D94" s="42"/>
      <c r="E94" s="42"/>
      <c r="F94" s="43"/>
      <c r="G94" s="42"/>
      <c r="H94" s="42"/>
      <c r="I94" s="43"/>
      <c r="J94" s="42"/>
      <c r="K94" s="42"/>
      <c r="L94" s="42"/>
      <c r="M94" s="42"/>
      <c r="S94" s="43"/>
      <c r="T94" s="43"/>
    </row>
    <row r="95" spans="3:20">
      <c r="C95" s="43"/>
      <c r="D95" s="42"/>
      <c r="E95" s="42"/>
      <c r="F95" s="43"/>
      <c r="G95" s="42"/>
      <c r="H95" s="42"/>
      <c r="I95" s="43"/>
      <c r="J95" s="42"/>
      <c r="K95" s="42"/>
      <c r="L95" s="42"/>
      <c r="M95" s="42"/>
      <c r="S95" s="43"/>
      <c r="T95" s="43"/>
    </row>
    <row r="96" spans="3:20">
      <c r="C96" s="43"/>
      <c r="D96" s="42"/>
      <c r="E96" s="42"/>
      <c r="F96" s="43"/>
      <c r="G96" s="42"/>
      <c r="H96" s="42"/>
      <c r="I96" s="43"/>
      <c r="J96" s="42"/>
      <c r="K96" s="42"/>
      <c r="L96" s="42"/>
      <c r="M96" s="42"/>
      <c r="S96" s="43"/>
      <c r="T96" s="43"/>
    </row>
    <row r="97" spans="3:20">
      <c r="C97" s="43"/>
      <c r="D97" s="42"/>
      <c r="E97" s="42"/>
      <c r="F97" s="43"/>
      <c r="G97" s="42"/>
      <c r="H97" s="42"/>
      <c r="I97" s="43"/>
      <c r="J97" s="42"/>
      <c r="K97" s="42"/>
      <c r="L97" s="42"/>
      <c r="M97" s="42"/>
      <c r="S97" s="43"/>
      <c r="T97" s="43"/>
    </row>
    <row r="98" spans="3:20">
      <c r="C98" s="43"/>
      <c r="D98" s="42"/>
      <c r="E98" s="42"/>
      <c r="F98" s="43"/>
      <c r="G98" s="42"/>
      <c r="H98" s="42"/>
      <c r="I98" s="43"/>
      <c r="J98" s="42"/>
      <c r="K98" s="42"/>
      <c r="L98" s="42"/>
      <c r="M98" s="42"/>
      <c r="S98" s="43"/>
      <c r="T98" s="43"/>
    </row>
    <row r="99" spans="3:20">
      <c r="C99" s="43"/>
      <c r="D99" s="42"/>
      <c r="E99" s="42"/>
      <c r="F99" s="43"/>
      <c r="G99" s="42"/>
      <c r="H99" s="42"/>
      <c r="I99" s="43"/>
      <c r="J99" s="42"/>
      <c r="K99" s="42"/>
      <c r="L99" s="42"/>
      <c r="M99" s="42"/>
      <c r="S99" s="43"/>
      <c r="T99" s="43"/>
    </row>
    <row r="100" spans="3:20">
      <c r="C100" s="43"/>
      <c r="D100" s="42"/>
      <c r="E100" s="42"/>
      <c r="F100" s="43"/>
      <c r="G100" s="42"/>
      <c r="H100" s="42"/>
      <c r="I100" s="43"/>
      <c r="J100" s="42"/>
      <c r="K100" s="42"/>
      <c r="L100" s="42"/>
      <c r="M100" s="42"/>
      <c r="S100" s="43"/>
      <c r="T100" s="43"/>
    </row>
    <row r="101" spans="3:20">
      <c r="C101" s="43"/>
      <c r="D101" s="42"/>
      <c r="E101" s="42"/>
      <c r="F101" s="43"/>
      <c r="G101" s="42"/>
      <c r="H101" s="42"/>
      <c r="I101" s="43"/>
      <c r="J101" s="42"/>
      <c r="K101" s="42"/>
      <c r="L101" s="42"/>
      <c r="M101" s="42"/>
      <c r="S101" s="43"/>
      <c r="T101" s="43"/>
    </row>
    <row r="102" spans="3:20">
      <c r="C102" s="43"/>
      <c r="D102" s="42"/>
      <c r="E102" s="42"/>
      <c r="F102" s="43"/>
      <c r="G102" s="42"/>
      <c r="H102" s="42"/>
      <c r="I102" s="43"/>
      <c r="J102" s="42"/>
      <c r="K102" s="42"/>
      <c r="L102" s="42"/>
      <c r="M102" s="42"/>
      <c r="S102" s="43"/>
      <c r="T102" s="43"/>
    </row>
    <row r="103" spans="3:20">
      <c r="C103" s="43"/>
      <c r="D103" s="42"/>
      <c r="E103" s="42"/>
      <c r="F103" s="43"/>
      <c r="G103" s="42"/>
      <c r="H103" s="42"/>
      <c r="I103" s="43"/>
      <c r="J103" s="42"/>
      <c r="K103" s="42"/>
      <c r="L103" s="42"/>
      <c r="M103" s="42"/>
      <c r="S103" s="43"/>
      <c r="T103" s="43"/>
    </row>
    <row r="104" spans="3:20">
      <c r="C104" s="43"/>
      <c r="D104" s="42"/>
      <c r="E104" s="42"/>
      <c r="F104" s="43"/>
      <c r="G104" s="42"/>
      <c r="H104" s="42"/>
      <c r="I104" s="43"/>
      <c r="J104" s="42"/>
      <c r="K104" s="42"/>
      <c r="L104" s="42"/>
      <c r="M104" s="42"/>
      <c r="S104" s="43"/>
      <c r="T104" s="43"/>
    </row>
    <row r="105" spans="3:20">
      <c r="C105" s="43"/>
      <c r="D105" s="42"/>
      <c r="E105" s="42"/>
      <c r="F105" s="43"/>
      <c r="G105" s="42"/>
      <c r="H105" s="42"/>
      <c r="I105" s="43"/>
      <c r="J105" s="42"/>
      <c r="K105" s="42"/>
      <c r="L105" s="42"/>
      <c r="M105" s="42"/>
      <c r="S105" s="43"/>
      <c r="T105" s="43"/>
    </row>
    <row r="106" spans="3:20">
      <c r="C106" s="43"/>
      <c r="D106" s="42"/>
      <c r="E106" s="42"/>
      <c r="F106" s="43"/>
      <c r="G106" s="42"/>
      <c r="H106" s="42"/>
      <c r="I106" s="43"/>
      <c r="J106" s="42"/>
      <c r="K106" s="42"/>
      <c r="L106" s="42"/>
      <c r="M106" s="42"/>
      <c r="S106" s="43"/>
      <c r="T106" s="43"/>
    </row>
    <row r="107" spans="3:20">
      <c r="C107" s="43"/>
      <c r="D107" s="42"/>
      <c r="E107" s="42"/>
      <c r="F107" s="43"/>
      <c r="G107" s="42"/>
      <c r="H107" s="42"/>
      <c r="I107" s="43"/>
      <c r="J107" s="42"/>
      <c r="K107" s="42"/>
      <c r="L107" s="42"/>
      <c r="M107" s="42"/>
      <c r="S107" s="43"/>
      <c r="T107" s="43"/>
    </row>
    <row r="108" spans="3:20">
      <c r="C108" s="43"/>
      <c r="D108" s="42"/>
      <c r="E108" s="42"/>
      <c r="F108" s="43"/>
      <c r="G108" s="42"/>
      <c r="H108" s="42"/>
      <c r="I108" s="43"/>
      <c r="J108" s="42"/>
      <c r="K108" s="42"/>
      <c r="L108" s="42"/>
      <c r="M108" s="42"/>
      <c r="S108" s="43"/>
      <c r="T108" s="43"/>
    </row>
    <row r="109" spans="3:20">
      <c r="C109" s="43"/>
      <c r="D109" s="42"/>
      <c r="E109" s="42"/>
      <c r="F109" s="43"/>
      <c r="G109" s="42"/>
      <c r="H109" s="42"/>
      <c r="I109" s="43"/>
      <c r="J109" s="42"/>
      <c r="K109" s="42"/>
      <c r="L109" s="42"/>
      <c r="M109" s="42"/>
      <c r="S109" s="43"/>
      <c r="T109" s="43"/>
    </row>
    <row r="110" spans="3:20">
      <c r="C110" s="43"/>
      <c r="D110" s="42"/>
      <c r="E110" s="42"/>
      <c r="F110" s="43"/>
      <c r="G110" s="42"/>
      <c r="H110" s="42"/>
      <c r="I110" s="43"/>
      <c r="J110" s="42"/>
      <c r="K110" s="42"/>
      <c r="L110" s="42"/>
      <c r="M110" s="42"/>
      <c r="S110" s="43"/>
      <c r="T110" s="43"/>
    </row>
    <row r="111" spans="3:20">
      <c r="C111" s="43"/>
      <c r="D111" s="42"/>
      <c r="E111" s="42"/>
      <c r="F111" s="43"/>
      <c r="G111" s="42"/>
      <c r="H111" s="42"/>
      <c r="I111" s="43"/>
      <c r="J111" s="42"/>
      <c r="K111" s="42"/>
      <c r="L111" s="42"/>
      <c r="M111" s="42"/>
      <c r="S111" s="43"/>
      <c r="T111" s="43"/>
    </row>
    <row r="112" spans="3:20">
      <c r="C112" s="43"/>
      <c r="D112" s="42"/>
      <c r="E112" s="42"/>
      <c r="F112" s="43"/>
      <c r="G112" s="42"/>
      <c r="H112" s="42"/>
      <c r="I112" s="43"/>
      <c r="J112" s="42"/>
      <c r="K112" s="42"/>
      <c r="L112" s="42"/>
      <c r="M112" s="42"/>
      <c r="S112" s="43"/>
      <c r="T112" s="43"/>
    </row>
    <row r="113" spans="3:20">
      <c r="C113" s="43"/>
      <c r="D113" s="42"/>
      <c r="E113" s="42"/>
      <c r="F113" s="43"/>
      <c r="G113" s="42"/>
      <c r="H113" s="42"/>
      <c r="I113" s="43"/>
      <c r="J113" s="42"/>
      <c r="K113" s="42"/>
      <c r="L113" s="42"/>
      <c r="M113" s="42"/>
      <c r="S113" s="43"/>
      <c r="T113" s="43"/>
    </row>
    <row r="114" spans="3:20">
      <c r="C114" s="43"/>
      <c r="D114" s="42"/>
      <c r="E114" s="42"/>
      <c r="F114" s="43"/>
      <c r="G114" s="42"/>
      <c r="H114" s="42"/>
      <c r="I114" s="43"/>
      <c r="J114" s="42"/>
      <c r="K114" s="42"/>
      <c r="L114" s="42"/>
      <c r="M114" s="42"/>
      <c r="S114" s="43"/>
      <c r="T114" s="43"/>
    </row>
    <row r="115" spans="3:20">
      <c r="C115" s="43"/>
      <c r="D115" s="42"/>
      <c r="E115" s="42"/>
      <c r="F115" s="43"/>
      <c r="G115" s="42"/>
      <c r="H115" s="42"/>
      <c r="I115" s="43"/>
      <c r="J115" s="42"/>
      <c r="K115" s="42"/>
      <c r="L115" s="42"/>
      <c r="M115" s="42"/>
      <c r="S115" s="43"/>
      <c r="T115" s="43"/>
    </row>
    <row r="116" spans="3:20">
      <c r="C116" s="43"/>
      <c r="D116" s="42"/>
      <c r="E116" s="42"/>
      <c r="F116" s="43"/>
      <c r="G116" s="42"/>
      <c r="H116" s="42"/>
      <c r="I116" s="43"/>
      <c r="J116" s="42"/>
      <c r="K116" s="42"/>
      <c r="L116" s="42"/>
      <c r="M116" s="42"/>
      <c r="S116" s="43"/>
      <c r="T116" s="43"/>
    </row>
    <row r="117" spans="3:20">
      <c r="C117" s="43"/>
      <c r="D117" s="42"/>
      <c r="E117" s="42"/>
      <c r="F117" s="43"/>
      <c r="G117" s="42"/>
      <c r="H117" s="42"/>
      <c r="I117" s="43"/>
      <c r="J117" s="42"/>
      <c r="K117" s="42"/>
      <c r="L117" s="42"/>
      <c r="M117" s="42"/>
      <c r="S117" s="43"/>
      <c r="T117" s="43"/>
    </row>
    <row r="118" spans="3:20">
      <c r="C118" s="43"/>
      <c r="D118" s="42"/>
      <c r="E118" s="42"/>
      <c r="F118" s="43"/>
      <c r="G118" s="42"/>
      <c r="H118" s="42"/>
      <c r="I118" s="43"/>
      <c r="J118" s="42"/>
      <c r="K118" s="42"/>
      <c r="L118" s="42"/>
      <c r="M118" s="42"/>
      <c r="S118" s="43"/>
      <c r="T118" s="43"/>
    </row>
    <row r="119" spans="3:20">
      <c r="C119" s="43"/>
      <c r="D119" s="42"/>
      <c r="E119" s="42"/>
      <c r="F119" s="43"/>
      <c r="G119" s="42"/>
      <c r="H119" s="42"/>
      <c r="I119" s="43"/>
      <c r="J119" s="42"/>
      <c r="K119" s="42"/>
      <c r="L119" s="42"/>
      <c r="M119" s="42"/>
      <c r="S119" s="43"/>
      <c r="T119" s="43"/>
    </row>
    <row r="120" spans="3:20">
      <c r="C120" s="43"/>
      <c r="D120" s="42"/>
      <c r="E120" s="42"/>
      <c r="F120" s="43"/>
      <c r="G120" s="42"/>
      <c r="H120" s="42"/>
      <c r="I120" s="43"/>
      <c r="J120" s="42"/>
      <c r="K120" s="42"/>
      <c r="L120" s="42"/>
      <c r="M120" s="42"/>
      <c r="S120" s="43"/>
      <c r="T120" s="43"/>
    </row>
    <row r="121" spans="3:20">
      <c r="C121" s="43"/>
      <c r="D121" s="42"/>
      <c r="E121" s="42"/>
      <c r="F121" s="43"/>
      <c r="G121" s="42"/>
      <c r="H121" s="42"/>
      <c r="I121" s="43"/>
      <c r="J121" s="42"/>
      <c r="K121" s="42"/>
      <c r="L121" s="42"/>
      <c r="M121" s="42"/>
      <c r="S121" s="43"/>
      <c r="T121" s="43"/>
    </row>
    <row r="122" spans="3:20">
      <c r="C122" s="43"/>
      <c r="D122" s="42"/>
      <c r="E122" s="42"/>
      <c r="F122" s="43"/>
      <c r="G122" s="42"/>
      <c r="H122" s="42"/>
      <c r="I122" s="43"/>
      <c r="J122" s="42"/>
      <c r="K122" s="42"/>
      <c r="L122" s="42"/>
      <c r="M122" s="42"/>
      <c r="S122" s="43"/>
      <c r="T122" s="43"/>
    </row>
    <row r="123" spans="3:20">
      <c r="C123" s="43"/>
      <c r="D123" s="42"/>
      <c r="E123" s="42"/>
      <c r="F123" s="43"/>
      <c r="G123" s="42"/>
      <c r="H123" s="42"/>
      <c r="I123" s="43"/>
      <c r="J123" s="42"/>
      <c r="K123" s="42"/>
      <c r="L123" s="42"/>
      <c r="M123" s="42"/>
      <c r="S123" s="43"/>
      <c r="T123" s="43"/>
    </row>
    <row r="124" spans="3:20">
      <c r="C124" s="43"/>
      <c r="D124" s="42"/>
      <c r="E124" s="42"/>
      <c r="F124" s="43"/>
      <c r="G124" s="42"/>
      <c r="H124" s="42"/>
      <c r="I124" s="43"/>
      <c r="J124" s="42"/>
      <c r="K124" s="42"/>
      <c r="L124" s="42"/>
      <c r="M124" s="42"/>
      <c r="S124" s="43"/>
      <c r="T124" s="43"/>
    </row>
    <row r="125" spans="3:20">
      <c r="C125" s="43"/>
      <c r="D125" s="42"/>
      <c r="E125" s="42"/>
      <c r="F125" s="43"/>
      <c r="G125" s="42"/>
      <c r="H125" s="42"/>
      <c r="I125" s="43"/>
      <c r="J125" s="42"/>
      <c r="K125" s="42"/>
      <c r="L125" s="42"/>
      <c r="M125" s="42"/>
      <c r="S125" s="43"/>
      <c r="T125" s="43"/>
    </row>
    <row r="126" spans="3:20">
      <c r="C126" s="43"/>
      <c r="D126" s="42"/>
      <c r="E126" s="42"/>
      <c r="F126" s="43"/>
      <c r="G126" s="42"/>
      <c r="H126" s="42"/>
      <c r="I126" s="43"/>
      <c r="J126" s="42"/>
      <c r="K126" s="42"/>
      <c r="L126" s="42"/>
      <c r="M126" s="42"/>
      <c r="S126" s="43"/>
      <c r="T126" s="43"/>
    </row>
    <row r="127" spans="3:20">
      <c r="C127" s="43"/>
      <c r="D127" s="42"/>
      <c r="E127" s="42"/>
      <c r="F127" s="43"/>
      <c r="G127" s="42"/>
      <c r="H127" s="42"/>
      <c r="I127" s="43"/>
      <c r="J127" s="42"/>
      <c r="K127" s="42"/>
      <c r="L127" s="42"/>
      <c r="M127" s="42"/>
      <c r="S127" s="43"/>
      <c r="T127" s="43"/>
    </row>
    <row r="128" spans="3:20">
      <c r="C128" s="43"/>
      <c r="D128" s="42"/>
      <c r="E128" s="42"/>
      <c r="F128" s="43"/>
      <c r="G128" s="42"/>
      <c r="H128" s="42"/>
      <c r="I128" s="43"/>
      <c r="J128" s="42"/>
      <c r="K128" s="42"/>
      <c r="L128" s="42"/>
      <c r="M128" s="42"/>
      <c r="S128" s="43"/>
      <c r="T128" s="43"/>
    </row>
    <row r="129" spans="3:20">
      <c r="C129" s="43"/>
      <c r="D129" s="42"/>
      <c r="E129" s="42"/>
      <c r="F129" s="43"/>
      <c r="G129" s="42"/>
      <c r="H129" s="42"/>
      <c r="I129" s="43"/>
      <c r="J129" s="42"/>
      <c r="K129" s="42"/>
      <c r="L129" s="42"/>
      <c r="M129" s="42"/>
      <c r="S129" s="43"/>
      <c r="T129" s="43"/>
    </row>
    <row r="130" spans="3:20">
      <c r="C130" s="43"/>
      <c r="D130" s="42"/>
      <c r="E130" s="42"/>
      <c r="F130" s="43"/>
      <c r="G130" s="42"/>
      <c r="H130" s="42"/>
      <c r="I130" s="43"/>
      <c r="J130" s="42"/>
      <c r="K130" s="42"/>
      <c r="L130" s="42"/>
      <c r="M130" s="42"/>
      <c r="S130" s="43"/>
      <c r="T130" s="43"/>
    </row>
    <row r="131" spans="3:20">
      <c r="C131" s="43"/>
      <c r="D131" s="42"/>
      <c r="E131" s="42"/>
      <c r="F131" s="43"/>
      <c r="G131" s="42"/>
      <c r="H131" s="42"/>
      <c r="I131" s="43"/>
      <c r="J131" s="42"/>
      <c r="K131" s="42"/>
      <c r="L131" s="42"/>
      <c r="M131" s="42"/>
      <c r="S131" s="43"/>
      <c r="T131" s="43"/>
    </row>
    <row r="132" spans="3:20">
      <c r="C132" s="43"/>
      <c r="D132" s="42"/>
      <c r="E132" s="42"/>
      <c r="F132" s="43"/>
      <c r="G132" s="42"/>
      <c r="H132" s="42"/>
      <c r="I132" s="43"/>
      <c r="J132" s="42"/>
      <c r="K132" s="42"/>
      <c r="L132" s="42"/>
      <c r="M132" s="42"/>
      <c r="S132" s="43"/>
      <c r="T132" s="43"/>
    </row>
    <row r="133" spans="3:20">
      <c r="C133" s="43"/>
      <c r="D133" s="42"/>
      <c r="E133" s="42"/>
      <c r="F133" s="43"/>
      <c r="G133" s="42"/>
      <c r="H133" s="42"/>
      <c r="I133" s="43"/>
      <c r="J133" s="42"/>
      <c r="K133" s="42"/>
      <c r="L133" s="42"/>
      <c r="M133" s="42"/>
      <c r="S133" s="43"/>
      <c r="T133" s="43"/>
    </row>
    <row r="134" spans="3:20">
      <c r="C134" s="43"/>
      <c r="D134" s="42"/>
      <c r="E134" s="42"/>
      <c r="F134" s="43"/>
      <c r="G134" s="42"/>
      <c r="H134" s="42"/>
      <c r="I134" s="43"/>
      <c r="J134" s="42"/>
      <c r="K134" s="42"/>
      <c r="L134" s="42"/>
      <c r="M134" s="42"/>
      <c r="S134" s="43"/>
      <c r="T134" s="43"/>
    </row>
    <row r="135" spans="3:20">
      <c r="C135" s="43"/>
      <c r="D135" s="42"/>
      <c r="E135" s="42"/>
      <c r="F135" s="43"/>
      <c r="G135" s="42"/>
      <c r="H135" s="42"/>
      <c r="I135" s="43"/>
      <c r="J135" s="42"/>
      <c r="K135" s="42"/>
      <c r="L135" s="42"/>
      <c r="M135" s="42"/>
      <c r="S135" s="43"/>
      <c r="T135" s="43"/>
    </row>
    <row r="136" spans="3:20">
      <c r="C136" s="43"/>
      <c r="D136" s="42"/>
      <c r="E136" s="42"/>
      <c r="F136" s="43"/>
      <c r="G136" s="42"/>
      <c r="H136" s="42"/>
      <c r="I136" s="43"/>
      <c r="J136" s="42"/>
      <c r="K136" s="42"/>
      <c r="L136" s="42"/>
      <c r="M136" s="42"/>
      <c r="S136" s="43"/>
      <c r="T136" s="43"/>
    </row>
    <row r="137" spans="3:20">
      <c r="C137" s="43"/>
      <c r="D137" s="42"/>
      <c r="E137" s="42"/>
      <c r="F137" s="43"/>
      <c r="G137" s="42"/>
      <c r="H137" s="42"/>
      <c r="I137" s="43"/>
      <c r="J137" s="42"/>
      <c r="K137" s="42"/>
      <c r="L137" s="42"/>
      <c r="M137" s="42"/>
      <c r="S137" s="43"/>
      <c r="T137" s="43"/>
    </row>
    <row r="138" spans="3:20">
      <c r="C138" s="43"/>
      <c r="D138" s="42"/>
      <c r="E138" s="42"/>
      <c r="F138" s="43"/>
      <c r="G138" s="42"/>
      <c r="H138" s="42"/>
      <c r="I138" s="43"/>
      <c r="J138" s="42"/>
      <c r="K138" s="42"/>
      <c r="L138" s="42"/>
      <c r="M138" s="42"/>
      <c r="S138" s="43"/>
      <c r="T138" s="43"/>
    </row>
    <row r="139" spans="3:20">
      <c r="C139" s="43"/>
      <c r="D139" s="42"/>
      <c r="E139" s="42"/>
      <c r="F139" s="43"/>
      <c r="G139" s="42"/>
      <c r="H139" s="42"/>
      <c r="I139" s="43"/>
      <c r="J139" s="42"/>
      <c r="K139" s="42"/>
      <c r="L139" s="42"/>
      <c r="M139" s="42"/>
      <c r="S139" s="43"/>
      <c r="T139" s="43"/>
    </row>
    <row r="140" spans="3:20">
      <c r="C140" s="43"/>
      <c r="D140" s="42"/>
      <c r="E140" s="42"/>
      <c r="F140" s="43"/>
      <c r="G140" s="42"/>
      <c r="H140" s="42"/>
      <c r="I140" s="43"/>
      <c r="J140" s="42"/>
      <c r="K140" s="42"/>
      <c r="L140" s="42"/>
      <c r="M140" s="42"/>
      <c r="S140" s="43"/>
      <c r="T140" s="43"/>
    </row>
    <row r="141" spans="3:20">
      <c r="C141" s="43"/>
      <c r="D141" s="42"/>
      <c r="E141" s="42"/>
      <c r="F141" s="43"/>
      <c r="G141" s="42"/>
      <c r="H141" s="42"/>
      <c r="I141" s="43"/>
      <c r="J141" s="42"/>
      <c r="K141" s="42"/>
      <c r="L141" s="42"/>
      <c r="M141" s="42"/>
      <c r="S141" s="43"/>
      <c r="T141" s="43"/>
    </row>
    <row r="142" spans="3:20">
      <c r="C142" s="43"/>
      <c r="D142" s="42"/>
      <c r="E142" s="42"/>
      <c r="F142" s="43"/>
      <c r="G142" s="42"/>
      <c r="H142" s="42"/>
      <c r="I142" s="43"/>
      <c r="J142" s="42"/>
      <c r="K142" s="42"/>
      <c r="L142" s="42"/>
      <c r="M142" s="42"/>
      <c r="S142" s="43"/>
      <c r="T142" s="43"/>
    </row>
    <row r="143" spans="3:20">
      <c r="C143" s="43"/>
      <c r="D143" s="42"/>
      <c r="E143" s="42"/>
      <c r="F143" s="43"/>
      <c r="G143" s="42"/>
      <c r="H143" s="42"/>
      <c r="I143" s="43"/>
      <c r="J143" s="42"/>
      <c r="K143" s="42"/>
      <c r="L143" s="42"/>
      <c r="M143" s="42"/>
      <c r="S143" s="43"/>
      <c r="T143" s="43"/>
    </row>
    <row r="144" spans="3:20">
      <c r="C144" s="43"/>
      <c r="D144" s="42"/>
      <c r="E144" s="42"/>
      <c r="F144" s="43"/>
      <c r="G144" s="42"/>
      <c r="H144" s="42"/>
      <c r="I144" s="43"/>
      <c r="J144" s="42"/>
      <c r="K144" s="42"/>
      <c r="L144" s="42"/>
      <c r="M144" s="42"/>
      <c r="S144" s="43"/>
      <c r="T144" s="43"/>
    </row>
    <row r="145" spans="3:20">
      <c r="C145" s="43"/>
      <c r="D145" s="42"/>
      <c r="E145" s="42"/>
      <c r="F145" s="43"/>
      <c r="G145" s="42"/>
      <c r="H145" s="42"/>
      <c r="I145" s="43"/>
      <c r="J145" s="42"/>
      <c r="K145" s="42"/>
      <c r="L145" s="42"/>
      <c r="M145" s="42"/>
      <c r="S145" s="43"/>
      <c r="T145" s="43"/>
    </row>
    <row r="146" spans="3:20">
      <c r="C146" s="43"/>
      <c r="D146" s="42"/>
      <c r="E146" s="42"/>
      <c r="F146" s="43"/>
      <c r="G146" s="42"/>
      <c r="H146" s="42"/>
      <c r="I146" s="43"/>
      <c r="J146" s="42"/>
      <c r="K146" s="42"/>
      <c r="L146" s="42"/>
      <c r="M146" s="42"/>
      <c r="S146" s="43"/>
      <c r="T146" s="43"/>
    </row>
    <row r="147" spans="3:20">
      <c r="C147" s="43"/>
      <c r="D147" s="42"/>
      <c r="E147" s="42"/>
      <c r="F147" s="43"/>
      <c r="G147" s="42"/>
      <c r="H147" s="42"/>
      <c r="I147" s="43"/>
      <c r="J147" s="42"/>
      <c r="K147" s="42"/>
      <c r="L147" s="42"/>
      <c r="M147" s="42"/>
      <c r="S147" s="43"/>
      <c r="T147" s="43"/>
    </row>
    <row r="148" spans="3:20">
      <c r="C148" s="43"/>
      <c r="D148" s="42"/>
      <c r="E148" s="42"/>
      <c r="F148" s="43"/>
      <c r="G148" s="42"/>
      <c r="H148" s="42"/>
      <c r="I148" s="43"/>
      <c r="J148" s="42"/>
      <c r="K148" s="42"/>
      <c r="L148" s="42"/>
      <c r="M148" s="42"/>
      <c r="S148" s="43"/>
      <c r="T148" s="43"/>
    </row>
    <row r="149" spans="3:20">
      <c r="C149" s="43"/>
      <c r="D149" s="42"/>
      <c r="E149" s="42"/>
      <c r="F149" s="43"/>
      <c r="G149" s="42"/>
      <c r="H149" s="42"/>
      <c r="I149" s="43"/>
      <c r="J149" s="42"/>
      <c r="K149" s="42"/>
      <c r="L149" s="42"/>
      <c r="M149" s="42"/>
      <c r="S149" s="43"/>
      <c r="T149" s="43"/>
    </row>
    <row r="150" spans="3:20">
      <c r="C150" s="43"/>
      <c r="D150" s="42"/>
      <c r="E150" s="42"/>
      <c r="F150" s="43"/>
      <c r="G150" s="42"/>
      <c r="H150" s="42"/>
      <c r="I150" s="43"/>
      <c r="J150" s="42"/>
      <c r="K150" s="42"/>
      <c r="L150" s="42"/>
      <c r="M150" s="42"/>
      <c r="S150" s="43"/>
      <c r="T150" s="43"/>
    </row>
    <row r="151" spans="3:20">
      <c r="C151" s="43"/>
      <c r="D151" s="42"/>
      <c r="E151" s="42"/>
      <c r="F151" s="43"/>
      <c r="G151" s="42"/>
      <c r="H151" s="42"/>
      <c r="I151" s="43"/>
      <c r="J151" s="42"/>
      <c r="K151" s="42"/>
      <c r="L151" s="42"/>
      <c r="M151" s="42"/>
      <c r="S151" s="43"/>
      <c r="T151" s="43"/>
    </row>
    <row r="152" spans="3:20">
      <c r="C152" s="43"/>
      <c r="D152" s="42"/>
      <c r="E152" s="42"/>
      <c r="F152" s="43"/>
      <c r="G152" s="42"/>
      <c r="H152" s="42"/>
      <c r="I152" s="43"/>
      <c r="J152" s="42"/>
      <c r="K152" s="42"/>
      <c r="L152" s="42"/>
      <c r="M152" s="42"/>
      <c r="S152" s="43"/>
      <c r="T152" s="43"/>
    </row>
    <row r="153" spans="3:20">
      <c r="C153" s="43"/>
      <c r="D153" s="42"/>
      <c r="E153" s="42"/>
      <c r="F153" s="43"/>
      <c r="G153" s="42"/>
      <c r="H153" s="42"/>
      <c r="I153" s="43"/>
      <c r="J153" s="42"/>
      <c r="K153" s="42"/>
      <c r="L153" s="42"/>
      <c r="M153" s="42"/>
      <c r="S153" s="43"/>
      <c r="T153" s="43"/>
    </row>
    <row r="154" spans="3:20">
      <c r="C154" s="43"/>
      <c r="D154" s="42"/>
      <c r="E154" s="42"/>
      <c r="F154" s="43"/>
      <c r="G154" s="42"/>
      <c r="H154" s="42"/>
      <c r="I154" s="43"/>
      <c r="J154" s="42"/>
      <c r="K154" s="42"/>
      <c r="L154" s="42"/>
      <c r="M154" s="42"/>
      <c r="S154" s="43"/>
      <c r="T154" s="43"/>
    </row>
    <row r="155" spans="3:20">
      <c r="C155" s="43"/>
      <c r="D155" s="42"/>
      <c r="E155" s="42"/>
      <c r="F155" s="43"/>
      <c r="G155" s="42"/>
      <c r="H155" s="42"/>
      <c r="I155" s="43"/>
      <c r="J155" s="42"/>
      <c r="K155" s="42"/>
      <c r="L155" s="42"/>
      <c r="M155" s="42"/>
      <c r="S155" s="43"/>
      <c r="T155" s="43"/>
    </row>
    <row r="156" spans="3:20">
      <c r="C156" s="43"/>
      <c r="D156" s="42"/>
      <c r="E156" s="42"/>
      <c r="F156" s="43"/>
      <c r="G156" s="42"/>
      <c r="H156" s="42"/>
      <c r="I156" s="43"/>
      <c r="J156" s="42"/>
      <c r="K156" s="42"/>
      <c r="L156" s="42"/>
      <c r="M156" s="42"/>
      <c r="S156" s="43"/>
      <c r="T156" s="43"/>
    </row>
    <row r="157" spans="3:20">
      <c r="C157" s="43"/>
      <c r="D157" s="42"/>
      <c r="E157" s="42"/>
      <c r="F157" s="43"/>
      <c r="G157" s="42"/>
      <c r="H157" s="42"/>
      <c r="I157" s="43"/>
      <c r="J157" s="42"/>
      <c r="K157" s="42"/>
      <c r="L157" s="42"/>
      <c r="M157" s="42"/>
      <c r="S157" s="43"/>
      <c r="T157" s="43"/>
    </row>
    <row r="158" spans="3:20">
      <c r="C158" s="43"/>
      <c r="D158" s="42"/>
      <c r="E158" s="42"/>
      <c r="F158" s="43"/>
      <c r="G158" s="42"/>
      <c r="H158" s="42"/>
      <c r="I158" s="43"/>
      <c r="J158" s="42"/>
      <c r="K158" s="42"/>
      <c r="L158" s="42"/>
      <c r="M158" s="42"/>
      <c r="S158" s="43"/>
      <c r="T158" s="43"/>
    </row>
    <row r="159" spans="3:20">
      <c r="C159" s="43"/>
      <c r="D159" s="42"/>
      <c r="E159" s="42"/>
      <c r="F159" s="43"/>
      <c r="G159" s="42"/>
      <c r="H159" s="42"/>
      <c r="I159" s="43"/>
      <c r="J159" s="42"/>
      <c r="K159" s="42"/>
      <c r="L159" s="42"/>
      <c r="M159" s="42"/>
      <c r="S159" s="43"/>
      <c r="T159" s="43"/>
    </row>
  </sheetData>
  <hyperlinks>
    <hyperlink ref="M8" r:id="rId1"/>
    <hyperlink ref="M14" r:id="rId2"/>
    <hyperlink ref="K5" r:id="rId3"/>
  </hyperlinks>
  <pageMargins left="0.7" right="0.7" top="0.75" bottom="0.75" header="0.3" footer="0.3"/>
  <pageSetup paperSize="9" orientation="portrait"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9" tint="-0.499984740745262"/>
  </sheetPr>
  <dimension ref="A1:S159"/>
  <sheetViews>
    <sheetView workbookViewId="0"/>
  </sheetViews>
  <sheetFormatPr baseColWidth="10" defaultColWidth="10.5703125" defaultRowHeight="15"/>
  <cols>
    <col min="1" max="1" width="16.5703125" style="8" customWidth="1"/>
    <col min="2" max="2" width="5" style="1" customWidth="1"/>
    <col min="3" max="3" width="10.5703125" style="1"/>
    <col min="4" max="4" width="13.42578125" style="1" customWidth="1"/>
    <col min="5" max="5" width="11.140625" style="1" customWidth="1"/>
    <col min="6" max="6" width="10.5703125" style="1"/>
    <col min="7" max="7" width="12.85546875" style="1" customWidth="1"/>
    <col min="8" max="8" width="16.42578125" style="1" customWidth="1"/>
    <col min="9" max="9" width="10.5703125" style="1"/>
    <col min="10" max="10" width="12.42578125" style="1" customWidth="1"/>
    <col min="11" max="11" width="11.5703125" style="1" customWidth="1"/>
    <col min="12" max="12" width="18.85546875" style="1" customWidth="1"/>
    <col min="13" max="13" width="18.5703125" style="1" customWidth="1"/>
    <col min="14" max="14" width="14.42578125" customWidth="1"/>
    <col min="15" max="15" width="14" customWidth="1"/>
    <col min="16" max="16" width="44.42578125" customWidth="1"/>
    <col min="18" max="16384" width="10.5703125" style="1"/>
  </cols>
  <sheetData>
    <row r="1" spans="1:19" ht="11.1" customHeight="1">
      <c r="N1" s="1"/>
      <c r="O1" s="1"/>
      <c r="P1" s="1"/>
      <c r="Q1" s="1"/>
    </row>
    <row r="2" spans="1:19" ht="20.100000000000001" customHeight="1">
      <c r="C2" s="708" t="s">
        <v>12</v>
      </c>
      <c r="D2" s="708"/>
      <c r="E2" s="708"/>
      <c r="F2" s="708"/>
      <c r="G2" s="708"/>
      <c r="H2" s="708"/>
      <c r="I2" s="708"/>
      <c r="J2" s="708"/>
      <c r="K2" s="708"/>
      <c r="L2" s="708"/>
      <c r="M2" s="708"/>
      <c r="N2" s="708"/>
      <c r="O2" s="1"/>
      <c r="P2" s="1"/>
      <c r="Q2" s="1"/>
    </row>
    <row r="3" spans="1:19">
      <c r="N3" s="1"/>
      <c r="O3" s="1"/>
      <c r="P3" s="1"/>
      <c r="Q3" s="1"/>
    </row>
    <row r="4" spans="1:19" ht="75">
      <c r="A4" s="9"/>
      <c r="C4" s="24" t="s">
        <v>17</v>
      </c>
      <c r="D4" s="23" t="s">
        <v>778</v>
      </c>
      <c r="E4" s="23" t="s">
        <v>19</v>
      </c>
      <c r="F4" s="23" t="s">
        <v>917</v>
      </c>
      <c r="G4" s="22" t="s">
        <v>22</v>
      </c>
      <c r="H4" s="22" t="s">
        <v>21</v>
      </c>
      <c r="I4" s="23" t="s">
        <v>779</v>
      </c>
      <c r="J4" s="24" t="s">
        <v>780</v>
      </c>
      <c r="K4" s="23" t="s">
        <v>24</v>
      </c>
      <c r="L4" s="23" t="s">
        <v>781</v>
      </c>
      <c r="M4" s="23" t="s">
        <v>782</v>
      </c>
      <c r="N4" s="23" t="s">
        <v>918</v>
      </c>
      <c r="O4" s="23" t="s">
        <v>919</v>
      </c>
      <c r="P4" s="23" t="s">
        <v>28</v>
      </c>
      <c r="Q4" s="1"/>
    </row>
    <row r="5" spans="1:19" ht="75">
      <c r="C5" s="27" t="s">
        <v>83</v>
      </c>
      <c r="D5" s="26" t="s">
        <v>791</v>
      </c>
      <c r="E5" s="26" t="s">
        <v>195</v>
      </c>
      <c r="F5" s="27" t="s">
        <v>920</v>
      </c>
      <c r="G5" s="26" t="s">
        <v>305</v>
      </c>
      <c r="H5" s="26" t="s">
        <v>12</v>
      </c>
      <c r="I5" s="27" t="s">
        <v>787</v>
      </c>
      <c r="J5" s="27" t="s">
        <v>224</v>
      </c>
      <c r="K5" s="33" t="s">
        <v>306</v>
      </c>
      <c r="L5" s="26" t="s">
        <v>762</v>
      </c>
      <c r="M5" s="33" t="s">
        <v>308</v>
      </c>
      <c r="N5" s="27" t="s">
        <v>921</v>
      </c>
      <c r="O5" s="27" t="s">
        <v>922</v>
      </c>
      <c r="P5" s="51" t="s">
        <v>760</v>
      </c>
      <c r="Q5" s="1"/>
    </row>
    <row r="6" spans="1:19" ht="105">
      <c r="C6" s="27" t="s">
        <v>69</v>
      </c>
      <c r="D6" s="26" t="s">
        <v>894</v>
      </c>
      <c r="E6" s="26" t="s">
        <v>161</v>
      </c>
      <c r="F6" s="27" t="s">
        <v>759</v>
      </c>
      <c r="G6" s="26" t="s">
        <v>287</v>
      </c>
      <c r="H6" s="26" t="s">
        <v>12</v>
      </c>
      <c r="I6" s="27" t="s">
        <v>787</v>
      </c>
      <c r="J6" s="27" t="s">
        <v>224</v>
      </c>
      <c r="K6" s="33" t="s">
        <v>288</v>
      </c>
      <c r="L6" s="26" t="s">
        <v>289</v>
      </c>
      <c r="M6" s="33" t="s">
        <v>290</v>
      </c>
      <c r="N6" s="27" t="s">
        <v>921</v>
      </c>
      <c r="O6" s="27" t="s">
        <v>922</v>
      </c>
      <c r="P6" s="51" t="s">
        <v>760</v>
      </c>
      <c r="Q6" s="1"/>
    </row>
    <row r="7" spans="1:19" ht="105">
      <c r="C7" s="37" t="s">
        <v>108</v>
      </c>
      <c r="D7" s="30" t="s">
        <v>407</v>
      </c>
      <c r="E7" s="30" t="s">
        <v>755</v>
      </c>
      <c r="F7" s="37" t="s">
        <v>775</v>
      </c>
      <c r="G7" s="30" t="s">
        <v>756</v>
      </c>
      <c r="H7" s="30" t="s">
        <v>12</v>
      </c>
      <c r="I7" s="37" t="s">
        <v>814</v>
      </c>
      <c r="J7" s="37" t="s">
        <v>224</v>
      </c>
      <c r="K7" s="35" t="s">
        <v>402</v>
      </c>
      <c r="L7" s="30" t="s">
        <v>776</v>
      </c>
      <c r="M7" s="35" t="s">
        <v>404</v>
      </c>
      <c r="N7" s="37" t="s">
        <v>921</v>
      </c>
      <c r="O7" s="37" t="s">
        <v>922</v>
      </c>
      <c r="P7" s="51" t="s">
        <v>760</v>
      </c>
      <c r="Q7" s="1"/>
    </row>
    <row r="8" spans="1:19">
      <c r="C8" s="46"/>
      <c r="D8" s="46"/>
      <c r="E8" s="46"/>
      <c r="F8" s="46"/>
      <c r="G8" s="46"/>
      <c r="H8" s="42"/>
      <c r="I8" s="46"/>
      <c r="J8" s="46"/>
      <c r="K8" s="46"/>
      <c r="L8" s="46"/>
      <c r="M8" s="46"/>
      <c r="R8" s="46"/>
      <c r="S8" s="46"/>
    </row>
    <row r="9" spans="1:19">
      <c r="C9" s="46"/>
      <c r="D9" s="46"/>
      <c r="E9" s="46"/>
      <c r="F9" s="46"/>
      <c r="G9" s="46"/>
      <c r="H9" s="42"/>
      <c r="I9" s="46"/>
      <c r="J9" s="46"/>
      <c r="K9" s="46"/>
      <c r="L9" s="46"/>
      <c r="M9" s="46"/>
      <c r="R9" s="46"/>
      <c r="S9" s="46"/>
    </row>
    <row r="10" spans="1:19">
      <c r="C10" s="46"/>
      <c r="D10" s="46"/>
      <c r="E10" s="46"/>
      <c r="F10" s="46"/>
      <c r="G10" s="46"/>
      <c r="H10" s="42"/>
      <c r="I10" s="46"/>
      <c r="J10" s="46"/>
      <c r="K10" s="46"/>
      <c r="L10" s="46"/>
      <c r="M10" s="46"/>
      <c r="R10" s="46"/>
      <c r="S10" s="46"/>
    </row>
    <row r="11" spans="1:19">
      <c r="C11" s="42"/>
      <c r="D11" s="42"/>
      <c r="E11" s="42"/>
      <c r="F11" s="42"/>
      <c r="G11" s="42"/>
      <c r="H11" s="42"/>
      <c r="I11" s="42"/>
      <c r="J11" s="42"/>
      <c r="K11" s="42"/>
      <c r="L11" s="42"/>
      <c r="M11" s="42"/>
      <c r="R11" s="42"/>
      <c r="S11" s="42"/>
    </row>
    <row r="12" spans="1:19">
      <c r="C12" s="42"/>
      <c r="D12" s="42"/>
      <c r="E12" s="42"/>
      <c r="F12" s="42"/>
      <c r="G12" s="42"/>
      <c r="H12" s="42"/>
      <c r="I12" s="42"/>
      <c r="J12" s="42"/>
      <c r="K12" s="42"/>
      <c r="L12" s="42"/>
      <c r="M12" s="42"/>
      <c r="R12" s="42"/>
      <c r="S12" s="42"/>
    </row>
    <row r="13" spans="1:19">
      <c r="C13" s="42"/>
      <c r="D13" s="42"/>
      <c r="E13" s="42"/>
      <c r="F13" s="42"/>
      <c r="G13" s="42"/>
      <c r="H13" s="42"/>
      <c r="I13" s="42"/>
      <c r="J13" s="42"/>
      <c r="K13" s="42"/>
      <c r="L13" s="42"/>
      <c r="M13" s="42"/>
      <c r="R13" s="42"/>
      <c r="S13" s="42"/>
    </row>
    <row r="14" spans="1:19">
      <c r="C14" s="42"/>
      <c r="D14" s="42"/>
      <c r="E14" s="42"/>
      <c r="F14" s="42"/>
      <c r="G14" s="42"/>
      <c r="H14" s="42"/>
      <c r="I14" s="42"/>
      <c r="J14" s="42"/>
      <c r="K14" s="42"/>
      <c r="L14" s="42"/>
      <c r="M14" s="42"/>
      <c r="R14" s="42"/>
      <c r="S14" s="42"/>
    </row>
    <row r="15" spans="1:19">
      <c r="C15" s="42"/>
      <c r="D15" s="42"/>
      <c r="E15" s="42"/>
      <c r="F15" s="42"/>
      <c r="G15" s="42"/>
      <c r="H15" s="42"/>
      <c r="I15" s="42"/>
      <c r="J15" s="42"/>
      <c r="K15" s="42"/>
      <c r="L15" s="42"/>
      <c r="M15" s="42"/>
      <c r="R15" s="42"/>
      <c r="S15" s="42"/>
    </row>
    <row r="16" spans="1:19">
      <c r="C16" s="42"/>
      <c r="D16" s="42"/>
      <c r="E16" s="42"/>
      <c r="F16" s="42"/>
      <c r="G16" s="42"/>
      <c r="H16" s="42"/>
      <c r="I16" s="42"/>
      <c r="J16" s="42"/>
      <c r="K16" s="42"/>
      <c r="L16" s="42"/>
      <c r="M16" s="42"/>
      <c r="R16" s="42"/>
      <c r="S16" s="42"/>
    </row>
    <row r="17" spans="3:19">
      <c r="C17" s="42"/>
      <c r="D17" s="42"/>
      <c r="E17" s="42"/>
      <c r="F17" s="42"/>
      <c r="G17" s="42"/>
      <c r="H17" s="42"/>
      <c r="I17" s="42"/>
      <c r="J17" s="42"/>
      <c r="K17" s="42"/>
      <c r="L17" s="42"/>
      <c r="M17" s="42"/>
      <c r="R17" s="42"/>
      <c r="S17" s="42"/>
    </row>
    <row r="18" spans="3:19">
      <c r="C18" s="42"/>
      <c r="D18" s="42"/>
      <c r="E18" s="42"/>
      <c r="F18" s="42"/>
      <c r="G18" s="42"/>
      <c r="H18" s="42"/>
      <c r="I18" s="42"/>
      <c r="J18" s="42"/>
      <c r="K18" s="42"/>
      <c r="L18" s="42"/>
      <c r="M18" s="42"/>
      <c r="R18" s="42"/>
      <c r="S18" s="42"/>
    </row>
    <row r="19" spans="3:19">
      <c r="C19" s="42"/>
      <c r="D19" s="42"/>
      <c r="E19" s="42"/>
      <c r="F19" s="42"/>
      <c r="G19" s="42"/>
      <c r="H19" s="42"/>
      <c r="I19" s="42"/>
      <c r="J19" s="42"/>
      <c r="K19" s="42"/>
      <c r="L19" s="42"/>
      <c r="M19" s="42"/>
      <c r="R19" s="42"/>
      <c r="S19" s="42"/>
    </row>
    <row r="20" spans="3:19">
      <c r="C20" s="42"/>
      <c r="D20" s="42"/>
      <c r="E20" s="42"/>
      <c r="F20" s="42"/>
      <c r="G20" s="42"/>
      <c r="H20" s="42"/>
      <c r="I20" s="42"/>
      <c r="J20" s="42"/>
      <c r="K20" s="42"/>
      <c r="L20" s="42"/>
      <c r="M20" s="42"/>
      <c r="R20" s="42"/>
      <c r="S20" s="42"/>
    </row>
    <row r="21" spans="3:19">
      <c r="C21" s="42"/>
      <c r="D21" s="42"/>
      <c r="E21" s="42"/>
      <c r="F21" s="42"/>
      <c r="G21" s="42"/>
      <c r="H21" s="42"/>
      <c r="I21" s="42"/>
      <c r="J21" s="42"/>
      <c r="K21" s="42"/>
      <c r="L21" s="42"/>
      <c r="M21" s="42"/>
      <c r="R21" s="42"/>
      <c r="S21" s="42"/>
    </row>
    <row r="22" spans="3:19">
      <c r="C22" s="42"/>
      <c r="D22" s="42"/>
      <c r="E22" s="42"/>
      <c r="F22" s="42"/>
      <c r="G22" s="42"/>
      <c r="H22" s="42"/>
      <c r="I22" s="42"/>
      <c r="J22" s="42"/>
      <c r="K22" s="42"/>
      <c r="L22" s="42"/>
      <c r="M22" s="42"/>
      <c r="R22" s="42"/>
      <c r="S22" s="42"/>
    </row>
    <row r="23" spans="3:19">
      <c r="C23" s="42"/>
      <c r="D23" s="42"/>
      <c r="E23" s="42"/>
      <c r="F23" s="42"/>
      <c r="G23" s="42"/>
      <c r="H23" s="42"/>
      <c r="I23" s="42"/>
      <c r="J23" s="42"/>
      <c r="K23" s="42"/>
      <c r="L23" s="42"/>
      <c r="M23" s="42"/>
      <c r="R23" s="42"/>
      <c r="S23" s="42"/>
    </row>
    <row r="24" spans="3:19">
      <c r="C24" s="42"/>
      <c r="D24" s="42"/>
      <c r="E24" s="42"/>
      <c r="F24" s="42"/>
      <c r="G24" s="42"/>
      <c r="H24" s="42"/>
      <c r="I24" s="42"/>
      <c r="J24" s="42"/>
      <c r="K24" s="42"/>
      <c r="L24" s="42"/>
      <c r="M24" s="42"/>
      <c r="R24" s="42"/>
      <c r="S24" s="42"/>
    </row>
    <row r="25" spans="3:19">
      <c r="C25" s="42"/>
      <c r="D25" s="42"/>
      <c r="E25" s="42"/>
      <c r="F25" s="42"/>
      <c r="G25" s="42"/>
      <c r="H25" s="42"/>
      <c r="I25" s="42"/>
      <c r="J25" s="42"/>
      <c r="K25" s="42"/>
      <c r="L25" s="42"/>
      <c r="M25" s="42"/>
      <c r="R25" s="42"/>
      <c r="S25" s="42"/>
    </row>
    <row r="26" spans="3:19">
      <c r="C26" s="42"/>
      <c r="D26" s="42"/>
      <c r="E26" s="42"/>
      <c r="F26" s="42"/>
      <c r="G26" s="42"/>
      <c r="H26" s="42"/>
      <c r="I26" s="42"/>
      <c r="J26" s="42"/>
      <c r="K26" s="42"/>
      <c r="L26" s="42"/>
      <c r="M26" s="42"/>
      <c r="R26" s="42"/>
      <c r="S26" s="42"/>
    </row>
    <row r="27" spans="3:19">
      <c r="C27" s="42"/>
      <c r="D27" s="42"/>
      <c r="E27" s="42"/>
      <c r="F27" s="42"/>
      <c r="G27" s="42"/>
      <c r="H27" s="42"/>
      <c r="I27" s="42"/>
      <c r="J27" s="42"/>
      <c r="K27" s="42"/>
      <c r="L27" s="42"/>
      <c r="M27" s="42"/>
      <c r="R27" s="42"/>
      <c r="S27" s="42"/>
    </row>
    <row r="28" spans="3:19">
      <c r="C28" s="42"/>
      <c r="D28" s="42"/>
      <c r="E28" s="42"/>
      <c r="F28" s="42"/>
      <c r="G28" s="42"/>
      <c r="H28" s="42"/>
      <c r="I28" s="42"/>
      <c r="J28" s="42"/>
      <c r="K28" s="42"/>
      <c r="L28" s="42"/>
      <c r="M28" s="42"/>
      <c r="R28" s="42"/>
      <c r="S28" s="42"/>
    </row>
    <row r="29" spans="3:19">
      <c r="C29" s="42"/>
      <c r="D29" s="42"/>
      <c r="E29" s="42"/>
      <c r="F29" s="42"/>
      <c r="G29" s="42"/>
      <c r="H29" s="42"/>
      <c r="I29" s="42"/>
      <c r="J29" s="42"/>
      <c r="K29" s="42"/>
      <c r="L29" s="42"/>
      <c r="M29" s="42"/>
      <c r="R29" s="42"/>
      <c r="S29" s="42"/>
    </row>
    <row r="30" spans="3:19">
      <c r="C30" s="42"/>
      <c r="D30" s="42"/>
      <c r="E30" s="42"/>
      <c r="F30" s="42"/>
      <c r="G30" s="42"/>
      <c r="H30" s="42"/>
      <c r="I30" s="42"/>
      <c r="J30" s="42"/>
      <c r="K30" s="42"/>
      <c r="L30" s="42"/>
      <c r="M30" s="42"/>
      <c r="R30" s="42"/>
      <c r="S30" s="42"/>
    </row>
    <row r="31" spans="3:19">
      <c r="C31" s="42"/>
      <c r="D31" s="42"/>
      <c r="E31" s="42"/>
      <c r="F31" s="42"/>
      <c r="G31" s="42"/>
      <c r="H31" s="42"/>
      <c r="I31" s="42"/>
      <c r="J31" s="42"/>
      <c r="K31" s="42"/>
      <c r="L31" s="42"/>
      <c r="M31" s="42"/>
      <c r="R31" s="42"/>
      <c r="S31" s="42"/>
    </row>
    <row r="32" spans="3:19">
      <c r="C32" s="42"/>
      <c r="D32" s="42"/>
      <c r="E32" s="42"/>
      <c r="F32" s="42"/>
      <c r="G32" s="42"/>
      <c r="H32" s="42"/>
      <c r="I32" s="42"/>
      <c r="J32" s="42"/>
      <c r="K32" s="42"/>
      <c r="L32" s="42"/>
      <c r="M32" s="42"/>
      <c r="R32" s="42"/>
      <c r="S32" s="42"/>
    </row>
    <row r="33" spans="3:19">
      <c r="C33" s="42"/>
      <c r="D33" s="42"/>
      <c r="E33" s="42"/>
      <c r="F33" s="42"/>
      <c r="G33" s="42"/>
      <c r="H33" s="42"/>
      <c r="I33" s="42"/>
      <c r="J33" s="42"/>
      <c r="K33" s="42"/>
      <c r="L33" s="42"/>
      <c r="M33" s="42"/>
      <c r="R33" s="42"/>
      <c r="S33" s="42"/>
    </row>
    <row r="34" spans="3:19">
      <c r="C34" s="42"/>
      <c r="D34" s="42"/>
      <c r="E34" s="42"/>
      <c r="F34" s="42"/>
      <c r="G34" s="42"/>
      <c r="H34" s="42"/>
      <c r="I34" s="42"/>
      <c r="J34" s="42"/>
      <c r="K34" s="42"/>
      <c r="L34" s="42"/>
      <c r="M34" s="42"/>
      <c r="R34" s="42"/>
      <c r="S34" s="42"/>
    </row>
    <row r="35" spans="3:19">
      <c r="C35" s="42"/>
      <c r="D35" s="42"/>
      <c r="E35" s="42"/>
      <c r="F35" s="42"/>
      <c r="G35" s="42"/>
      <c r="H35" s="42"/>
      <c r="I35" s="42"/>
      <c r="J35" s="42"/>
      <c r="K35" s="42"/>
      <c r="L35" s="42"/>
      <c r="M35" s="42"/>
      <c r="R35" s="42"/>
      <c r="S35" s="42"/>
    </row>
    <row r="36" spans="3:19">
      <c r="C36" s="42"/>
      <c r="D36" s="42"/>
      <c r="E36" s="42"/>
      <c r="F36" s="42"/>
      <c r="G36" s="42"/>
      <c r="H36" s="42"/>
      <c r="I36" s="42"/>
      <c r="J36" s="42"/>
      <c r="K36" s="42"/>
      <c r="L36" s="42"/>
      <c r="M36" s="42"/>
      <c r="R36" s="42"/>
      <c r="S36" s="42"/>
    </row>
    <row r="37" spans="3:19">
      <c r="C37" s="42"/>
      <c r="D37" s="42"/>
      <c r="E37" s="42"/>
      <c r="F37" s="42"/>
      <c r="G37" s="42"/>
      <c r="H37" s="42"/>
      <c r="I37" s="42"/>
      <c r="J37" s="42"/>
      <c r="K37" s="42"/>
      <c r="L37" s="42"/>
      <c r="M37" s="42"/>
      <c r="R37" s="42"/>
      <c r="S37" s="42"/>
    </row>
    <row r="38" spans="3:19">
      <c r="C38" s="42"/>
      <c r="D38" s="42"/>
      <c r="E38" s="42"/>
      <c r="F38" s="42"/>
      <c r="G38" s="42"/>
      <c r="H38" s="42"/>
      <c r="I38" s="42"/>
      <c r="J38" s="42"/>
      <c r="K38" s="42"/>
      <c r="L38" s="42"/>
      <c r="M38" s="42"/>
      <c r="R38" s="42"/>
      <c r="S38" s="42"/>
    </row>
    <row r="39" spans="3:19">
      <c r="C39" s="42"/>
      <c r="D39" s="42"/>
      <c r="E39" s="42"/>
      <c r="F39" s="42"/>
      <c r="G39" s="42"/>
      <c r="H39" s="42"/>
      <c r="I39" s="42"/>
      <c r="J39" s="42"/>
      <c r="K39" s="42"/>
      <c r="L39" s="42"/>
      <c r="M39" s="42"/>
      <c r="R39" s="42"/>
      <c r="S39" s="42"/>
    </row>
    <row r="40" spans="3:19">
      <c r="C40" s="42"/>
      <c r="D40" s="42"/>
      <c r="E40" s="42"/>
      <c r="F40" s="42"/>
      <c r="G40" s="42"/>
      <c r="H40" s="42"/>
      <c r="I40" s="42"/>
      <c r="J40" s="42"/>
      <c r="K40" s="42"/>
      <c r="L40" s="42"/>
      <c r="M40" s="42"/>
      <c r="R40" s="42"/>
      <c r="S40" s="42"/>
    </row>
    <row r="41" spans="3:19">
      <c r="C41" s="42"/>
      <c r="D41" s="42"/>
      <c r="E41" s="42"/>
      <c r="F41" s="42"/>
      <c r="G41" s="42"/>
      <c r="H41" s="42"/>
      <c r="I41" s="42"/>
      <c r="J41" s="42"/>
      <c r="K41" s="42"/>
      <c r="L41" s="42"/>
      <c r="M41" s="42"/>
      <c r="R41" s="42"/>
      <c r="S41" s="42"/>
    </row>
    <row r="42" spans="3:19">
      <c r="C42" s="42"/>
      <c r="D42" s="42"/>
      <c r="E42" s="42"/>
      <c r="F42" s="42"/>
      <c r="G42" s="42"/>
      <c r="H42" s="42"/>
      <c r="I42" s="42"/>
      <c r="J42" s="42"/>
      <c r="K42" s="42"/>
      <c r="L42" s="42"/>
      <c r="M42" s="42"/>
      <c r="R42" s="42"/>
      <c r="S42" s="42"/>
    </row>
    <row r="43" spans="3:19">
      <c r="C43" s="42"/>
      <c r="D43" s="42"/>
      <c r="E43" s="42"/>
      <c r="F43" s="42"/>
      <c r="G43" s="42"/>
      <c r="H43" s="42"/>
      <c r="I43" s="42"/>
      <c r="J43" s="42"/>
      <c r="K43" s="42"/>
      <c r="L43" s="42"/>
      <c r="M43" s="42"/>
      <c r="R43" s="42"/>
      <c r="S43" s="42"/>
    </row>
    <row r="44" spans="3:19">
      <c r="C44" s="42"/>
      <c r="D44" s="42"/>
      <c r="E44" s="42"/>
      <c r="F44" s="42"/>
      <c r="G44" s="42"/>
      <c r="H44" s="42"/>
      <c r="I44" s="42"/>
      <c r="J44" s="42"/>
      <c r="K44" s="42"/>
      <c r="L44" s="42"/>
      <c r="M44" s="42"/>
      <c r="R44" s="42"/>
      <c r="S44" s="42"/>
    </row>
    <row r="45" spans="3:19">
      <c r="C45" s="42"/>
      <c r="D45" s="42"/>
      <c r="E45" s="42"/>
      <c r="F45" s="42"/>
      <c r="G45" s="42"/>
      <c r="H45" s="42"/>
      <c r="I45" s="42"/>
      <c r="J45" s="42"/>
      <c r="K45" s="42"/>
      <c r="L45" s="42"/>
      <c r="M45" s="42"/>
      <c r="R45" s="42"/>
      <c r="S45" s="42"/>
    </row>
    <row r="46" spans="3:19">
      <c r="C46" s="42"/>
      <c r="D46" s="42"/>
      <c r="E46" s="42"/>
      <c r="F46" s="42"/>
      <c r="G46" s="42"/>
      <c r="H46" s="42"/>
      <c r="I46" s="42"/>
      <c r="J46" s="42"/>
      <c r="K46" s="42"/>
      <c r="L46" s="42"/>
      <c r="M46" s="42"/>
      <c r="R46" s="42"/>
      <c r="S46" s="42"/>
    </row>
    <row r="47" spans="3:19">
      <c r="C47" s="42"/>
      <c r="D47" s="42"/>
      <c r="E47" s="42"/>
      <c r="F47" s="42"/>
      <c r="G47" s="42"/>
      <c r="H47" s="42"/>
      <c r="I47" s="42"/>
      <c r="J47" s="42"/>
      <c r="K47" s="42"/>
      <c r="L47" s="42"/>
      <c r="M47" s="42"/>
      <c r="R47" s="42"/>
      <c r="S47" s="42"/>
    </row>
    <row r="48" spans="3:19">
      <c r="C48" s="42"/>
      <c r="D48" s="42"/>
      <c r="E48" s="42"/>
      <c r="F48" s="42"/>
      <c r="G48" s="42"/>
      <c r="H48" s="42"/>
      <c r="I48" s="42"/>
      <c r="J48" s="42"/>
      <c r="K48" s="42"/>
      <c r="L48" s="42"/>
      <c r="M48" s="42"/>
      <c r="R48" s="42"/>
      <c r="S48" s="42"/>
    </row>
    <row r="49" spans="3:19">
      <c r="C49" s="42"/>
      <c r="D49" s="42"/>
      <c r="E49" s="42"/>
      <c r="F49" s="42"/>
      <c r="G49" s="42"/>
      <c r="H49" s="42"/>
      <c r="I49" s="42"/>
      <c r="J49" s="42"/>
      <c r="K49" s="42"/>
      <c r="L49" s="42"/>
      <c r="M49" s="42"/>
      <c r="R49" s="42"/>
      <c r="S49" s="42"/>
    </row>
    <row r="50" spans="3:19">
      <c r="C50" s="42"/>
      <c r="D50" s="42"/>
      <c r="E50" s="42"/>
      <c r="F50" s="42"/>
      <c r="G50" s="42"/>
      <c r="H50" s="42"/>
      <c r="I50" s="42"/>
      <c r="J50" s="42"/>
      <c r="K50" s="42"/>
      <c r="L50" s="42"/>
      <c r="M50" s="42"/>
      <c r="R50" s="42"/>
      <c r="S50" s="42"/>
    </row>
    <row r="51" spans="3:19">
      <c r="C51" s="42"/>
      <c r="D51" s="42"/>
      <c r="E51" s="42"/>
      <c r="F51" s="42"/>
      <c r="G51" s="42"/>
      <c r="H51" s="42"/>
      <c r="I51" s="42"/>
      <c r="J51" s="42"/>
      <c r="K51" s="42"/>
      <c r="L51" s="42"/>
      <c r="M51" s="42"/>
      <c r="R51" s="42"/>
      <c r="S51" s="42"/>
    </row>
    <row r="52" spans="3:19">
      <c r="C52" s="42"/>
      <c r="D52" s="42"/>
      <c r="E52" s="42"/>
      <c r="F52" s="42"/>
      <c r="G52" s="42"/>
      <c r="H52" s="42"/>
      <c r="I52" s="42"/>
      <c r="J52" s="42"/>
      <c r="K52" s="42"/>
      <c r="L52" s="42"/>
      <c r="M52" s="42"/>
      <c r="R52" s="42"/>
      <c r="S52" s="42"/>
    </row>
    <row r="53" spans="3:19">
      <c r="C53" s="42"/>
      <c r="D53" s="42"/>
      <c r="E53" s="42"/>
      <c r="F53" s="42"/>
      <c r="G53" s="42"/>
      <c r="H53" s="42"/>
      <c r="I53" s="42"/>
      <c r="J53" s="42"/>
      <c r="K53" s="42"/>
      <c r="L53" s="42"/>
      <c r="M53" s="42"/>
      <c r="R53" s="42"/>
      <c r="S53" s="42"/>
    </row>
    <row r="54" spans="3:19">
      <c r="C54" s="42"/>
      <c r="D54" s="42"/>
      <c r="E54" s="42"/>
      <c r="F54" s="42"/>
      <c r="G54" s="42"/>
      <c r="H54" s="42"/>
      <c r="I54" s="42"/>
      <c r="J54" s="42"/>
      <c r="K54" s="42"/>
      <c r="L54" s="42"/>
      <c r="M54" s="42"/>
      <c r="R54" s="42"/>
      <c r="S54" s="42"/>
    </row>
    <row r="55" spans="3:19">
      <c r="C55" s="42"/>
      <c r="D55" s="42"/>
      <c r="E55" s="42"/>
      <c r="F55" s="42"/>
      <c r="G55" s="42"/>
      <c r="H55" s="42"/>
      <c r="I55" s="42"/>
      <c r="J55" s="42"/>
      <c r="K55" s="42"/>
      <c r="L55" s="42"/>
      <c r="M55" s="42"/>
      <c r="R55" s="42"/>
      <c r="S55" s="42"/>
    </row>
    <row r="56" spans="3:19">
      <c r="C56" s="42"/>
      <c r="D56" s="42"/>
      <c r="E56" s="42"/>
      <c r="F56" s="42"/>
      <c r="G56" s="42"/>
      <c r="H56" s="42"/>
      <c r="I56" s="42"/>
      <c r="J56" s="42"/>
      <c r="K56" s="42"/>
      <c r="L56" s="42"/>
      <c r="M56" s="42"/>
      <c r="R56" s="42"/>
      <c r="S56" s="42"/>
    </row>
    <row r="57" spans="3:19">
      <c r="C57" s="42"/>
      <c r="D57" s="42"/>
      <c r="E57" s="42"/>
      <c r="F57" s="42"/>
      <c r="G57" s="42"/>
      <c r="H57" s="42"/>
      <c r="I57" s="42"/>
      <c r="J57" s="42"/>
      <c r="K57" s="42"/>
      <c r="L57" s="42"/>
      <c r="M57" s="42"/>
      <c r="R57" s="42"/>
      <c r="S57" s="42"/>
    </row>
    <row r="58" spans="3:19">
      <c r="C58" s="42"/>
      <c r="D58" s="42"/>
      <c r="E58" s="42"/>
      <c r="F58" s="42"/>
      <c r="G58" s="42"/>
      <c r="H58" s="42"/>
      <c r="I58" s="42"/>
      <c r="J58" s="42"/>
      <c r="K58" s="42"/>
      <c r="L58" s="42"/>
      <c r="M58" s="42"/>
      <c r="R58" s="42"/>
      <c r="S58" s="42"/>
    </row>
    <row r="59" spans="3:19">
      <c r="C59" s="42"/>
      <c r="D59" s="42"/>
      <c r="E59" s="42"/>
      <c r="F59" s="42"/>
      <c r="G59" s="42"/>
      <c r="H59" s="42"/>
      <c r="I59" s="42"/>
      <c r="J59" s="42"/>
      <c r="K59" s="42"/>
      <c r="L59" s="42"/>
      <c r="M59" s="42"/>
      <c r="R59" s="42"/>
      <c r="S59" s="42"/>
    </row>
    <row r="60" spans="3:19">
      <c r="C60" s="42"/>
      <c r="D60" s="42"/>
      <c r="E60" s="42"/>
      <c r="F60" s="42"/>
      <c r="G60" s="42"/>
      <c r="H60" s="42"/>
      <c r="I60" s="42"/>
      <c r="J60" s="42"/>
      <c r="K60" s="42"/>
      <c r="L60" s="42"/>
      <c r="M60" s="42"/>
      <c r="R60" s="42"/>
      <c r="S60" s="42"/>
    </row>
    <row r="61" spans="3:19">
      <c r="C61" s="42"/>
      <c r="D61" s="42"/>
      <c r="E61" s="42"/>
      <c r="F61" s="42"/>
      <c r="G61" s="42"/>
      <c r="H61" s="42"/>
      <c r="I61" s="42"/>
      <c r="J61" s="42"/>
      <c r="K61" s="42"/>
      <c r="L61" s="42"/>
      <c r="M61" s="42"/>
      <c r="R61" s="42"/>
      <c r="S61" s="42"/>
    </row>
    <row r="62" spans="3:19">
      <c r="C62" s="43"/>
      <c r="D62" s="42"/>
      <c r="E62" s="42"/>
      <c r="F62" s="43"/>
      <c r="G62" s="42"/>
      <c r="H62" s="42"/>
      <c r="I62" s="43"/>
      <c r="J62" s="42"/>
      <c r="K62" s="42"/>
      <c r="L62" s="42"/>
      <c r="M62" s="42"/>
      <c r="R62" s="43"/>
      <c r="S62" s="43"/>
    </row>
    <row r="63" spans="3:19">
      <c r="C63" s="43"/>
      <c r="D63" s="42"/>
      <c r="E63" s="42"/>
      <c r="F63" s="43"/>
      <c r="G63" s="42"/>
      <c r="H63" s="42"/>
      <c r="I63" s="43"/>
      <c r="J63" s="42"/>
      <c r="K63" s="42"/>
      <c r="L63" s="42"/>
      <c r="M63" s="42"/>
      <c r="R63" s="43"/>
      <c r="S63" s="43"/>
    </row>
    <row r="64" spans="3:19">
      <c r="C64" s="43"/>
      <c r="D64" s="42"/>
      <c r="E64" s="42"/>
      <c r="F64" s="43"/>
      <c r="G64" s="42"/>
      <c r="H64" s="42"/>
      <c r="I64" s="43"/>
      <c r="J64" s="42"/>
      <c r="K64" s="42"/>
      <c r="L64" s="42"/>
      <c r="M64" s="42"/>
      <c r="R64" s="43"/>
      <c r="S64" s="43"/>
    </row>
    <row r="65" spans="3:19">
      <c r="C65" s="43"/>
      <c r="D65" s="42"/>
      <c r="E65" s="42"/>
      <c r="F65" s="43"/>
      <c r="G65" s="42"/>
      <c r="H65" s="42"/>
      <c r="I65" s="43"/>
      <c r="J65" s="42"/>
      <c r="K65" s="42"/>
      <c r="L65" s="42"/>
      <c r="M65" s="42"/>
      <c r="R65" s="43"/>
      <c r="S65" s="43"/>
    </row>
    <row r="66" spans="3:19">
      <c r="C66" s="43"/>
      <c r="D66" s="42"/>
      <c r="E66" s="42"/>
      <c r="F66" s="43"/>
      <c r="G66" s="42"/>
      <c r="H66" s="42"/>
      <c r="I66" s="43"/>
      <c r="J66" s="42"/>
      <c r="K66" s="42"/>
      <c r="L66" s="42"/>
      <c r="M66" s="42"/>
      <c r="R66" s="43"/>
      <c r="S66" s="43"/>
    </row>
    <row r="67" spans="3:19">
      <c r="C67" s="43"/>
      <c r="D67" s="42"/>
      <c r="E67" s="42"/>
      <c r="F67" s="43"/>
      <c r="G67" s="42"/>
      <c r="H67" s="42"/>
      <c r="I67" s="43"/>
      <c r="J67" s="42"/>
      <c r="K67" s="42"/>
      <c r="L67" s="42"/>
      <c r="M67" s="42"/>
      <c r="R67" s="43"/>
      <c r="S67" s="43"/>
    </row>
    <row r="68" spans="3:19">
      <c r="C68" s="43"/>
      <c r="D68" s="42"/>
      <c r="E68" s="42"/>
      <c r="F68" s="43"/>
      <c r="G68" s="42"/>
      <c r="H68" s="42"/>
      <c r="I68" s="43"/>
      <c r="J68" s="42"/>
      <c r="K68" s="42"/>
      <c r="L68" s="42"/>
      <c r="M68" s="42"/>
      <c r="R68" s="43"/>
      <c r="S68" s="43"/>
    </row>
    <row r="69" spans="3:19">
      <c r="C69" s="43"/>
      <c r="D69" s="42"/>
      <c r="E69" s="42"/>
      <c r="F69" s="43"/>
      <c r="G69" s="42"/>
      <c r="H69" s="42"/>
      <c r="I69" s="43"/>
      <c r="J69" s="42"/>
      <c r="K69" s="42"/>
      <c r="L69" s="42"/>
      <c r="M69" s="42"/>
      <c r="R69" s="43"/>
      <c r="S69" s="43"/>
    </row>
    <row r="70" spans="3:19">
      <c r="C70" s="43"/>
      <c r="D70" s="42"/>
      <c r="E70" s="42"/>
      <c r="F70" s="43"/>
      <c r="G70" s="42"/>
      <c r="H70" s="42"/>
      <c r="I70" s="43"/>
      <c r="J70" s="42"/>
      <c r="K70" s="42"/>
      <c r="L70" s="42"/>
      <c r="M70" s="42"/>
      <c r="R70" s="43"/>
      <c r="S70" s="43"/>
    </row>
    <row r="71" spans="3:19">
      <c r="C71" s="43"/>
      <c r="D71" s="42"/>
      <c r="E71" s="42"/>
      <c r="F71" s="43"/>
      <c r="G71" s="42"/>
      <c r="H71" s="42"/>
      <c r="I71" s="43"/>
      <c r="J71" s="42"/>
      <c r="K71" s="42"/>
      <c r="L71" s="42"/>
      <c r="M71" s="42"/>
      <c r="R71" s="43"/>
      <c r="S71" s="43"/>
    </row>
    <row r="72" spans="3:19">
      <c r="C72" s="43"/>
      <c r="D72" s="42"/>
      <c r="E72" s="42"/>
      <c r="F72" s="43"/>
      <c r="G72" s="42"/>
      <c r="H72" s="42"/>
      <c r="I72" s="43"/>
      <c r="J72" s="42"/>
      <c r="K72" s="42"/>
      <c r="L72" s="42"/>
      <c r="M72" s="42"/>
      <c r="R72" s="43"/>
      <c r="S72" s="43"/>
    </row>
    <row r="73" spans="3:19">
      <c r="C73" s="43"/>
      <c r="D73" s="42"/>
      <c r="E73" s="42"/>
      <c r="F73" s="43"/>
      <c r="G73" s="42"/>
      <c r="H73" s="42"/>
      <c r="I73" s="43"/>
      <c r="J73" s="42"/>
      <c r="K73" s="42"/>
      <c r="L73" s="42"/>
      <c r="M73" s="42"/>
      <c r="R73" s="43"/>
      <c r="S73" s="43"/>
    </row>
    <row r="74" spans="3:19">
      <c r="C74" s="43"/>
      <c r="D74" s="42"/>
      <c r="E74" s="42"/>
      <c r="F74" s="43"/>
      <c r="G74" s="42"/>
      <c r="H74" s="42"/>
      <c r="I74" s="43"/>
      <c r="J74" s="42"/>
      <c r="K74" s="42"/>
      <c r="L74" s="42"/>
      <c r="M74" s="42"/>
      <c r="R74" s="43"/>
      <c r="S74" s="43"/>
    </row>
    <row r="75" spans="3:19">
      <c r="C75" s="43"/>
      <c r="D75" s="42"/>
      <c r="E75" s="42"/>
      <c r="F75" s="43"/>
      <c r="G75" s="42"/>
      <c r="H75" s="42"/>
      <c r="I75" s="43"/>
      <c r="J75" s="42"/>
      <c r="K75" s="42"/>
      <c r="L75" s="42"/>
      <c r="M75" s="42"/>
      <c r="R75" s="43"/>
      <c r="S75" s="43"/>
    </row>
    <row r="76" spans="3:19">
      <c r="C76" s="43"/>
      <c r="D76" s="42"/>
      <c r="E76" s="42"/>
      <c r="F76" s="43"/>
      <c r="G76" s="42"/>
      <c r="H76" s="42"/>
      <c r="I76" s="43"/>
      <c r="J76" s="42"/>
      <c r="K76" s="42"/>
      <c r="L76" s="42"/>
      <c r="M76" s="42"/>
      <c r="R76" s="43"/>
      <c r="S76" s="43"/>
    </row>
    <row r="77" spans="3:19">
      <c r="C77" s="43"/>
      <c r="D77" s="42"/>
      <c r="E77" s="42"/>
      <c r="F77" s="43"/>
      <c r="G77" s="42"/>
      <c r="H77" s="42"/>
      <c r="I77" s="43"/>
      <c r="J77" s="42"/>
      <c r="K77" s="42"/>
      <c r="L77" s="42"/>
      <c r="M77" s="42"/>
      <c r="R77" s="43"/>
      <c r="S77" s="43"/>
    </row>
    <row r="78" spans="3:19">
      <c r="C78" s="43"/>
      <c r="D78" s="42"/>
      <c r="E78" s="42"/>
      <c r="F78" s="43"/>
      <c r="G78" s="42"/>
      <c r="H78" s="42"/>
      <c r="I78" s="43"/>
      <c r="J78" s="42"/>
      <c r="K78" s="42"/>
      <c r="L78" s="42"/>
      <c r="M78" s="42"/>
      <c r="R78" s="43"/>
      <c r="S78" s="43"/>
    </row>
    <row r="79" spans="3:19">
      <c r="C79" s="43"/>
      <c r="D79" s="42"/>
      <c r="E79" s="42"/>
      <c r="F79" s="43"/>
      <c r="G79" s="42"/>
      <c r="H79" s="42"/>
      <c r="I79" s="43"/>
      <c r="J79" s="42"/>
      <c r="K79" s="42"/>
      <c r="L79" s="42"/>
      <c r="M79" s="42"/>
      <c r="R79" s="43"/>
      <c r="S79" s="43"/>
    </row>
    <row r="80" spans="3:19">
      <c r="C80" s="43"/>
      <c r="D80" s="42"/>
      <c r="E80" s="42"/>
      <c r="F80" s="43"/>
      <c r="G80" s="42"/>
      <c r="H80" s="42"/>
      <c r="I80" s="43"/>
      <c r="J80" s="42"/>
      <c r="K80" s="42"/>
      <c r="L80" s="42"/>
      <c r="M80" s="42"/>
      <c r="R80" s="43"/>
      <c r="S80" s="43"/>
    </row>
    <row r="81" spans="3:19">
      <c r="C81" s="43"/>
      <c r="D81" s="42"/>
      <c r="E81" s="42"/>
      <c r="F81" s="43"/>
      <c r="G81" s="42"/>
      <c r="H81" s="42"/>
      <c r="I81" s="43"/>
      <c r="J81" s="42"/>
      <c r="K81" s="42"/>
      <c r="L81" s="42"/>
      <c r="M81" s="42"/>
      <c r="R81" s="43"/>
      <c r="S81" s="43"/>
    </row>
    <row r="82" spans="3:19">
      <c r="C82" s="43"/>
      <c r="D82" s="42"/>
      <c r="E82" s="42"/>
      <c r="F82" s="43"/>
      <c r="G82" s="42"/>
      <c r="H82" s="42"/>
      <c r="I82" s="43"/>
      <c r="J82" s="42"/>
      <c r="K82" s="42"/>
      <c r="L82" s="42"/>
      <c r="M82" s="42"/>
      <c r="R82" s="43"/>
      <c r="S82" s="43"/>
    </row>
    <row r="83" spans="3:19">
      <c r="C83" s="43"/>
      <c r="D83" s="42"/>
      <c r="E83" s="42"/>
      <c r="F83" s="43"/>
      <c r="G83" s="42"/>
      <c r="H83" s="42"/>
      <c r="I83" s="43"/>
      <c r="J83" s="42"/>
      <c r="K83" s="42"/>
      <c r="L83" s="42"/>
      <c r="M83" s="42"/>
      <c r="R83" s="43"/>
      <c r="S83" s="43"/>
    </row>
    <row r="84" spans="3:19">
      <c r="C84" s="43"/>
      <c r="D84" s="42"/>
      <c r="E84" s="42"/>
      <c r="F84" s="43"/>
      <c r="G84" s="42"/>
      <c r="H84" s="42"/>
      <c r="I84" s="43"/>
      <c r="J84" s="42"/>
      <c r="K84" s="42"/>
      <c r="L84" s="42"/>
      <c r="M84" s="42"/>
      <c r="R84" s="43"/>
      <c r="S84" s="43"/>
    </row>
    <row r="85" spans="3:19">
      <c r="C85" s="43"/>
      <c r="D85" s="42"/>
      <c r="E85" s="42"/>
      <c r="F85" s="43"/>
      <c r="G85" s="42"/>
      <c r="H85" s="42"/>
      <c r="I85" s="43"/>
      <c r="J85" s="42"/>
      <c r="K85" s="42"/>
      <c r="L85" s="42"/>
      <c r="M85" s="42"/>
      <c r="R85" s="43"/>
      <c r="S85" s="43"/>
    </row>
    <row r="86" spans="3:19">
      <c r="C86" s="43"/>
      <c r="D86" s="42"/>
      <c r="E86" s="42"/>
      <c r="F86" s="43"/>
      <c r="G86" s="42"/>
      <c r="H86" s="42"/>
      <c r="I86" s="43"/>
      <c r="J86" s="42"/>
      <c r="K86" s="42"/>
      <c r="L86" s="42"/>
      <c r="M86" s="42"/>
      <c r="R86" s="43"/>
      <c r="S86" s="43"/>
    </row>
    <row r="87" spans="3:19">
      <c r="C87" s="43"/>
      <c r="D87" s="42"/>
      <c r="E87" s="42"/>
      <c r="F87" s="43"/>
      <c r="G87" s="42"/>
      <c r="H87" s="42"/>
      <c r="I87" s="43"/>
      <c r="J87" s="42"/>
      <c r="K87" s="42"/>
      <c r="L87" s="42"/>
      <c r="M87" s="42"/>
      <c r="R87" s="43"/>
      <c r="S87" s="43"/>
    </row>
    <row r="88" spans="3:19">
      <c r="C88" s="43"/>
      <c r="D88" s="42"/>
      <c r="E88" s="42"/>
      <c r="F88" s="43"/>
      <c r="G88" s="42"/>
      <c r="H88" s="42"/>
      <c r="I88" s="43"/>
      <c r="J88" s="42"/>
      <c r="K88" s="42"/>
      <c r="L88" s="42"/>
      <c r="M88" s="42"/>
      <c r="R88" s="43"/>
      <c r="S88" s="43"/>
    </row>
    <row r="89" spans="3:19">
      <c r="C89" s="43"/>
      <c r="D89" s="42"/>
      <c r="E89" s="42"/>
      <c r="F89" s="43"/>
      <c r="G89" s="42"/>
      <c r="H89" s="42"/>
      <c r="I89" s="43"/>
      <c r="J89" s="42"/>
      <c r="K89" s="42"/>
      <c r="L89" s="42"/>
      <c r="M89" s="42"/>
      <c r="R89" s="43"/>
      <c r="S89" s="43"/>
    </row>
    <row r="90" spans="3:19">
      <c r="C90" s="43"/>
      <c r="D90" s="42"/>
      <c r="E90" s="42"/>
      <c r="F90" s="43"/>
      <c r="G90" s="42"/>
      <c r="H90" s="42"/>
      <c r="I90" s="43"/>
      <c r="J90" s="42"/>
      <c r="K90" s="42"/>
      <c r="L90" s="42"/>
      <c r="M90" s="42"/>
      <c r="R90" s="43"/>
      <c r="S90" s="43"/>
    </row>
    <row r="91" spans="3:19">
      <c r="C91" s="43"/>
      <c r="D91" s="42"/>
      <c r="E91" s="42"/>
      <c r="F91" s="43"/>
      <c r="G91" s="42"/>
      <c r="H91" s="42"/>
      <c r="I91" s="43"/>
      <c r="J91" s="42"/>
      <c r="K91" s="42"/>
      <c r="L91" s="42"/>
      <c r="M91" s="42"/>
      <c r="R91" s="43"/>
      <c r="S91" s="43"/>
    </row>
    <row r="92" spans="3:19">
      <c r="C92" s="43"/>
      <c r="D92" s="42"/>
      <c r="E92" s="42"/>
      <c r="F92" s="43"/>
      <c r="G92" s="42"/>
      <c r="H92" s="42"/>
      <c r="I92" s="43"/>
      <c r="J92" s="42"/>
      <c r="K92" s="42"/>
      <c r="L92" s="42"/>
      <c r="M92" s="42"/>
      <c r="R92" s="43"/>
      <c r="S92" s="43"/>
    </row>
    <row r="93" spans="3:19">
      <c r="C93" s="43"/>
      <c r="D93" s="42"/>
      <c r="E93" s="42"/>
      <c r="F93" s="43"/>
      <c r="G93" s="42"/>
      <c r="H93" s="42"/>
      <c r="I93" s="43"/>
      <c r="J93" s="42"/>
      <c r="K93" s="42"/>
      <c r="L93" s="42"/>
      <c r="M93" s="42"/>
      <c r="R93" s="43"/>
      <c r="S93" s="43"/>
    </row>
    <row r="94" spans="3:19">
      <c r="C94" s="43"/>
      <c r="D94" s="42"/>
      <c r="E94" s="42"/>
      <c r="F94" s="43"/>
      <c r="G94" s="42"/>
      <c r="H94" s="42"/>
      <c r="I94" s="43"/>
      <c r="J94" s="42"/>
      <c r="K94" s="42"/>
      <c r="L94" s="42"/>
      <c r="M94" s="42"/>
      <c r="R94" s="43"/>
      <c r="S94" s="43"/>
    </row>
    <row r="95" spans="3:19">
      <c r="C95" s="43"/>
      <c r="D95" s="42"/>
      <c r="E95" s="42"/>
      <c r="F95" s="43"/>
      <c r="G95" s="42"/>
      <c r="H95" s="42"/>
      <c r="I95" s="43"/>
      <c r="J95" s="42"/>
      <c r="K95" s="42"/>
      <c r="L95" s="42"/>
      <c r="M95" s="42"/>
      <c r="R95" s="43"/>
      <c r="S95" s="43"/>
    </row>
    <row r="96" spans="3:19">
      <c r="C96" s="43"/>
      <c r="D96" s="42"/>
      <c r="E96" s="42"/>
      <c r="F96" s="43"/>
      <c r="G96" s="42"/>
      <c r="H96" s="42"/>
      <c r="I96" s="43"/>
      <c r="J96" s="42"/>
      <c r="K96" s="42"/>
      <c r="L96" s="42"/>
      <c r="M96" s="42"/>
      <c r="R96" s="43"/>
      <c r="S96" s="43"/>
    </row>
    <row r="97" spans="3:19">
      <c r="C97" s="43"/>
      <c r="D97" s="42"/>
      <c r="E97" s="42"/>
      <c r="F97" s="43"/>
      <c r="G97" s="42"/>
      <c r="H97" s="42"/>
      <c r="I97" s="43"/>
      <c r="J97" s="42"/>
      <c r="K97" s="42"/>
      <c r="L97" s="42"/>
      <c r="M97" s="42"/>
      <c r="R97" s="43"/>
      <c r="S97" s="43"/>
    </row>
    <row r="98" spans="3:19">
      <c r="C98" s="43"/>
      <c r="D98" s="42"/>
      <c r="E98" s="42"/>
      <c r="F98" s="43"/>
      <c r="G98" s="42"/>
      <c r="H98" s="42"/>
      <c r="I98" s="43"/>
      <c r="J98" s="42"/>
      <c r="K98" s="42"/>
      <c r="L98" s="42"/>
      <c r="M98" s="42"/>
      <c r="R98" s="43"/>
      <c r="S98" s="43"/>
    </row>
    <row r="99" spans="3:19">
      <c r="C99" s="43"/>
      <c r="D99" s="42"/>
      <c r="E99" s="42"/>
      <c r="F99" s="43"/>
      <c r="G99" s="42"/>
      <c r="H99" s="42"/>
      <c r="I99" s="43"/>
      <c r="J99" s="42"/>
      <c r="K99" s="42"/>
      <c r="L99" s="42"/>
      <c r="M99" s="42"/>
      <c r="R99" s="43"/>
      <c r="S99" s="43"/>
    </row>
    <row r="100" spans="3:19">
      <c r="C100" s="43"/>
      <c r="D100" s="42"/>
      <c r="E100" s="42"/>
      <c r="F100" s="43"/>
      <c r="G100" s="42"/>
      <c r="H100" s="42"/>
      <c r="I100" s="43"/>
      <c r="J100" s="42"/>
      <c r="K100" s="42"/>
      <c r="L100" s="42"/>
      <c r="M100" s="42"/>
      <c r="R100" s="43"/>
      <c r="S100" s="43"/>
    </row>
    <row r="101" spans="3:19">
      <c r="C101" s="43"/>
      <c r="D101" s="42"/>
      <c r="E101" s="42"/>
      <c r="F101" s="43"/>
      <c r="G101" s="42"/>
      <c r="H101" s="42"/>
      <c r="I101" s="43"/>
      <c r="J101" s="42"/>
      <c r="K101" s="42"/>
      <c r="L101" s="42"/>
      <c r="M101" s="42"/>
      <c r="R101" s="43"/>
      <c r="S101" s="43"/>
    </row>
    <row r="102" spans="3:19">
      <c r="C102" s="43"/>
      <c r="D102" s="42"/>
      <c r="E102" s="42"/>
      <c r="F102" s="43"/>
      <c r="G102" s="42"/>
      <c r="H102" s="42"/>
      <c r="I102" s="43"/>
      <c r="J102" s="42"/>
      <c r="K102" s="42"/>
      <c r="L102" s="42"/>
      <c r="M102" s="42"/>
      <c r="R102" s="43"/>
      <c r="S102" s="43"/>
    </row>
    <row r="103" spans="3:19">
      <c r="C103" s="43"/>
      <c r="D103" s="42"/>
      <c r="E103" s="42"/>
      <c r="F103" s="43"/>
      <c r="G103" s="42"/>
      <c r="H103" s="42"/>
      <c r="I103" s="43"/>
      <c r="J103" s="42"/>
      <c r="K103" s="42"/>
      <c r="L103" s="42"/>
      <c r="M103" s="42"/>
      <c r="R103" s="43"/>
      <c r="S103" s="43"/>
    </row>
    <row r="104" spans="3:19">
      <c r="C104" s="43"/>
      <c r="D104" s="42"/>
      <c r="E104" s="42"/>
      <c r="F104" s="43"/>
      <c r="G104" s="42"/>
      <c r="H104" s="42"/>
      <c r="I104" s="43"/>
      <c r="J104" s="42"/>
      <c r="K104" s="42"/>
      <c r="L104" s="42"/>
      <c r="M104" s="42"/>
      <c r="R104" s="43"/>
      <c r="S104" s="43"/>
    </row>
    <row r="105" spans="3:19">
      <c r="C105" s="43"/>
      <c r="D105" s="42"/>
      <c r="E105" s="42"/>
      <c r="F105" s="43"/>
      <c r="G105" s="42"/>
      <c r="H105" s="42"/>
      <c r="I105" s="43"/>
      <c r="J105" s="42"/>
      <c r="K105" s="42"/>
      <c r="L105" s="42"/>
      <c r="M105" s="42"/>
      <c r="R105" s="43"/>
      <c r="S105" s="43"/>
    </row>
    <row r="106" spans="3:19">
      <c r="C106" s="43"/>
      <c r="D106" s="42"/>
      <c r="E106" s="42"/>
      <c r="F106" s="43"/>
      <c r="G106" s="42"/>
      <c r="H106" s="42"/>
      <c r="I106" s="43"/>
      <c r="J106" s="42"/>
      <c r="K106" s="42"/>
      <c r="L106" s="42"/>
      <c r="M106" s="42"/>
      <c r="R106" s="43"/>
      <c r="S106" s="43"/>
    </row>
    <row r="107" spans="3:19">
      <c r="C107" s="43"/>
      <c r="D107" s="42"/>
      <c r="E107" s="42"/>
      <c r="F107" s="43"/>
      <c r="G107" s="42"/>
      <c r="H107" s="42"/>
      <c r="I107" s="43"/>
      <c r="J107" s="42"/>
      <c r="K107" s="42"/>
      <c r="L107" s="42"/>
      <c r="M107" s="42"/>
      <c r="R107" s="43"/>
      <c r="S107" s="43"/>
    </row>
    <row r="108" spans="3:19">
      <c r="C108" s="43"/>
      <c r="D108" s="42"/>
      <c r="E108" s="42"/>
      <c r="F108" s="43"/>
      <c r="G108" s="42"/>
      <c r="H108" s="42"/>
      <c r="I108" s="43"/>
      <c r="J108" s="42"/>
      <c r="K108" s="42"/>
      <c r="L108" s="42"/>
      <c r="M108" s="42"/>
      <c r="R108" s="43"/>
      <c r="S108" s="43"/>
    </row>
    <row r="109" spans="3:19">
      <c r="C109" s="43"/>
      <c r="D109" s="42"/>
      <c r="E109" s="42"/>
      <c r="F109" s="43"/>
      <c r="G109" s="42"/>
      <c r="H109" s="42"/>
      <c r="I109" s="43"/>
      <c r="J109" s="42"/>
      <c r="K109" s="42"/>
      <c r="L109" s="42"/>
      <c r="M109" s="42"/>
      <c r="R109" s="43"/>
      <c r="S109" s="43"/>
    </row>
    <row r="110" spans="3:19">
      <c r="C110" s="43"/>
      <c r="D110" s="42"/>
      <c r="E110" s="42"/>
      <c r="F110" s="43"/>
      <c r="G110" s="42"/>
      <c r="H110" s="42"/>
      <c r="I110" s="43"/>
      <c r="J110" s="42"/>
      <c r="K110" s="42"/>
      <c r="L110" s="42"/>
      <c r="M110" s="42"/>
      <c r="R110" s="43"/>
      <c r="S110" s="43"/>
    </row>
    <row r="111" spans="3:19">
      <c r="C111" s="43"/>
      <c r="D111" s="42"/>
      <c r="E111" s="42"/>
      <c r="F111" s="43"/>
      <c r="G111" s="42"/>
      <c r="H111" s="42"/>
      <c r="I111" s="43"/>
      <c r="J111" s="42"/>
      <c r="K111" s="42"/>
      <c r="L111" s="42"/>
      <c r="M111" s="42"/>
      <c r="R111" s="43"/>
      <c r="S111" s="43"/>
    </row>
    <row r="112" spans="3:19">
      <c r="C112" s="43"/>
      <c r="D112" s="42"/>
      <c r="E112" s="42"/>
      <c r="F112" s="43"/>
      <c r="G112" s="42"/>
      <c r="H112" s="42"/>
      <c r="I112" s="43"/>
      <c r="J112" s="42"/>
      <c r="K112" s="42"/>
      <c r="L112" s="42"/>
      <c r="M112" s="42"/>
      <c r="R112" s="43"/>
      <c r="S112" s="43"/>
    </row>
    <row r="113" spans="3:19">
      <c r="C113" s="43"/>
      <c r="D113" s="42"/>
      <c r="E113" s="42"/>
      <c r="F113" s="43"/>
      <c r="G113" s="42"/>
      <c r="H113" s="42"/>
      <c r="I113" s="43"/>
      <c r="J113" s="42"/>
      <c r="K113" s="42"/>
      <c r="L113" s="42"/>
      <c r="M113" s="42"/>
      <c r="R113" s="43"/>
      <c r="S113" s="43"/>
    </row>
    <row r="114" spans="3:19">
      <c r="C114" s="43"/>
      <c r="D114" s="42"/>
      <c r="E114" s="42"/>
      <c r="F114" s="43"/>
      <c r="G114" s="42"/>
      <c r="H114" s="42"/>
      <c r="I114" s="43"/>
      <c r="J114" s="42"/>
      <c r="K114" s="42"/>
      <c r="L114" s="42"/>
      <c r="M114" s="42"/>
      <c r="R114" s="43"/>
      <c r="S114" s="43"/>
    </row>
    <row r="115" spans="3:19">
      <c r="C115" s="43"/>
      <c r="D115" s="42"/>
      <c r="E115" s="42"/>
      <c r="F115" s="43"/>
      <c r="G115" s="42"/>
      <c r="H115" s="42"/>
      <c r="I115" s="43"/>
      <c r="J115" s="42"/>
      <c r="K115" s="42"/>
      <c r="L115" s="42"/>
      <c r="M115" s="42"/>
      <c r="R115" s="43"/>
      <c r="S115" s="43"/>
    </row>
    <row r="116" spans="3:19">
      <c r="C116" s="43"/>
      <c r="D116" s="42"/>
      <c r="E116" s="42"/>
      <c r="F116" s="43"/>
      <c r="G116" s="42"/>
      <c r="H116" s="42"/>
      <c r="I116" s="43"/>
      <c r="J116" s="42"/>
      <c r="K116" s="42"/>
      <c r="L116" s="42"/>
      <c r="M116" s="42"/>
      <c r="R116" s="43"/>
      <c r="S116" s="43"/>
    </row>
    <row r="117" spans="3:19">
      <c r="C117" s="43"/>
      <c r="D117" s="42"/>
      <c r="E117" s="42"/>
      <c r="F117" s="43"/>
      <c r="G117" s="42"/>
      <c r="H117" s="42"/>
      <c r="I117" s="43"/>
      <c r="J117" s="42"/>
      <c r="K117" s="42"/>
      <c r="L117" s="42"/>
      <c r="M117" s="42"/>
      <c r="R117" s="43"/>
      <c r="S117" s="43"/>
    </row>
    <row r="118" spans="3:19">
      <c r="C118" s="43"/>
      <c r="D118" s="42"/>
      <c r="E118" s="42"/>
      <c r="F118" s="43"/>
      <c r="G118" s="42"/>
      <c r="H118" s="42"/>
      <c r="I118" s="43"/>
      <c r="J118" s="42"/>
      <c r="K118" s="42"/>
      <c r="L118" s="42"/>
      <c r="M118" s="42"/>
      <c r="R118" s="43"/>
      <c r="S118" s="43"/>
    </row>
    <row r="119" spans="3:19">
      <c r="C119" s="43"/>
      <c r="D119" s="42"/>
      <c r="E119" s="42"/>
      <c r="F119" s="43"/>
      <c r="G119" s="42"/>
      <c r="H119" s="42"/>
      <c r="I119" s="43"/>
      <c r="J119" s="42"/>
      <c r="K119" s="42"/>
      <c r="L119" s="42"/>
      <c r="M119" s="42"/>
      <c r="R119" s="43"/>
      <c r="S119" s="43"/>
    </row>
    <row r="120" spans="3:19">
      <c r="C120" s="43"/>
      <c r="D120" s="42"/>
      <c r="E120" s="42"/>
      <c r="F120" s="43"/>
      <c r="G120" s="42"/>
      <c r="H120" s="42"/>
      <c r="I120" s="43"/>
      <c r="J120" s="42"/>
      <c r="K120" s="42"/>
      <c r="L120" s="42"/>
      <c r="M120" s="42"/>
      <c r="R120" s="43"/>
      <c r="S120" s="43"/>
    </row>
    <row r="121" spans="3:19">
      <c r="C121" s="43"/>
      <c r="D121" s="42"/>
      <c r="E121" s="42"/>
      <c r="F121" s="43"/>
      <c r="G121" s="42"/>
      <c r="H121" s="42"/>
      <c r="I121" s="43"/>
      <c r="J121" s="42"/>
      <c r="K121" s="42"/>
      <c r="L121" s="42"/>
      <c r="M121" s="42"/>
      <c r="R121" s="43"/>
      <c r="S121" s="43"/>
    </row>
    <row r="122" spans="3:19">
      <c r="C122" s="43"/>
      <c r="D122" s="42"/>
      <c r="E122" s="42"/>
      <c r="F122" s="43"/>
      <c r="G122" s="42"/>
      <c r="H122" s="42"/>
      <c r="I122" s="43"/>
      <c r="J122" s="42"/>
      <c r="K122" s="42"/>
      <c r="L122" s="42"/>
      <c r="M122" s="42"/>
      <c r="R122" s="43"/>
      <c r="S122" s="43"/>
    </row>
    <row r="123" spans="3:19">
      <c r="C123" s="43"/>
      <c r="D123" s="42"/>
      <c r="E123" s="42"/>
      <c r="F123" s="43"/>
      <c r="G123" s="42"/>
      <c r="H123" s="42"/>
      <c r="I123" s="43"/>
      <c r="J123" s="42"/>
      <c r="K123" s="42"/>
      <c r="L123" s="42"/>
      <c r="M123" s="42"/>
      <c r="R123" s="43"/>
      <c r="S123" s="43"/>
    </row>
    <row r="124" spans="3:19">
      <c r="C124" s="43"/>
      <c r="D124" s="42"/>
      <c r="E124" s="42"/>
      <c r="F124" s="43"/>
      <c r="G124" s="42"/>
      <c r="H124" s="42"/>
      <c r="I124" s="43"/>
      <c r="J124" s="42"/>
      <c r="K124" s="42"/>
      <c r="L124" s="42"/>
      <c r="M124" s="42"/>
      <c r="R124" s="43"/>
      <c r="S124" s="43"/>
    </row>
    <row r="125" spans="3:19">
      <c r="C125" s="43"/>
      <c r="D125" s="42"/>
      <c r="E125" s="42"/>
      <c r="F125" s="43"/>
      <c r="G125" s="42"/>
      <c r="H125" s="42"/>
      <c r="I125" s="43"/>
      <c r="J125" s="42"/>
      <c r="K125" s="42"/>
      <c r="L125" s="42"/>
      <c r="M125" s="42"/>
      <c r="R125" s="43"/>
      <c r="S125" s="43"/>
    </row>
    <row r="126" spans="3:19">
      <c r="C126" s="43"/>
      <c r="D126" s="42"/>
      <c r="E126" s="42"/>
      <c r="F126" s="43"/>
      <c r="G126" s="42"/>
      <c r="H126" s="42"/>
      <c r="I126" s="43"/>
      <c r="J126" s="42"/>
      <c r="K126" s="42"/>
      <c r="L126" s="42"/>
      <c r="M126" s="42"/>
      <c r="R126" s="43"/>
      <c r="S126" s="43"/>
    </row>
    <row r="127" spans="3:19">
      <c r="C127" s="43"/>
      <c r="D127" s="42"/>
      <c r="E127" s="42"/>
      <c r="F127" s="43"/>
      <c r="G127" s="42"/>
      <c r="H127" s="42"/>
      <c r="I127" s="43"/>
      <c r="J127" s="42"/>
      <c r="K127" s="42"/>
      <c r="L127" s="42"/>
      <c r="M127" s="42"/>
      <c r="R127" s="43"/>
      <c r="S127" s="43"/>
    </row>
    <row r="128" spans="3:19">
      <c r="C128" s="43"/>
      <c r="D128" s="42"/>
      <c r="E128" s="42"/>
      <c r="F128" s="43"/>
      <c r="G128" s="42"/>
      <c r="H128" s="42"/>
      <c r="I128" s="43"/>
      <c r="J128" s="42"/>
      <c r="K128" s="42"/>
      <c r="L128" s="42"/>
      <c r="M128" s="42"/>
      <c r="R128" s="43"/>
      <c r="S128" s="43"/>
    </row>
    <row r="129" spans="3:19">
      <c r="C129" s="43"/>
      <c r="D129" s="42"/>
      <c r="E129" s="42"/>
      <c r="F129" s="43"/>
      <c r="G129" s="42"/>
      <c r="H129" s="42"/>
      <c r="I129" s="43"/>
      <c r="J129" s="42"/>
      <c r="K129" s="42"/>
      <c r="L129" s="42"/>
      <c r="M129" s="42"/>
      <c r="R129" s="43"/>
      <c r="S129" s="43"/>
    </row>
    <row r="130" spans="3:19">
      <c r="C130" s="43"/>
      <c r="D130" s="42"/>
      <c r="E130" s="42"/>
      <c r="F130" s="43"/>
      <c r="G130" s="42"/>
      <c r="H130" s="42"/>
      <c r="I130" s="43"/>
      <c r="J130" s="42"/>
      <c r="K130" s="42"/>
      <c r="L130" s="42"/>
      <c r="M130" s="42"/>
      <c r="R130" s="43"/>
      <c r="S130" s="43"/>
    </row>
    <row r="131" spans="3:19">
      <c r="C131" s="43"/>
      <c r="D131" s="42"/>
      <c r="E131" s="42"/>
      <c r="F131" s="43"/>
      <c r="G131" s="42"/>
      <c r="H131" s="42"/>
      <c r="I131" s="43"/>
      <c r="J131" s="42"/>
      <c r="K131" s="42"/>
      <c r="L131" s="42"/>
      <c r="M131" s="42"/>
      <c r="R131" s="43"/>
      <c r="S131" s="43"/>
    </row>
    <row r="132" spans="3:19">
      <c r="C132" s="43"/>
      <c r="D132" s="42"/>
      <c r="E132" s="42"/>
      <c r="F132" s="43"/>
      <c r="G132" s="42"/>
      <c r="H132" s="42"/>
      <c r="I132" s="43"/>
      <c r="J132" s="42"/>
      <c r="K132" s="42"/>
      <c r="L132" s="42"/>
      <c r="M132" s="42"/>
      <c r="R132" s="43"/>
      <c r="S132" s="43"/>
    </row>
    <row r="133" spans="3:19">
      <c r="C133" s="43"/>
      <c r="D133" s="42"/>
      <c r="E133" s="42"/>
      <c r="F133" s="43"/>
      <c r="G133" s="42"/>
      <c r="H133" s="42"/>
      <c r="I133" s="43"/>
      <c r="J133" s="42"/>
      <c r="K133" s="42"/>
      <c r="L133" s="42"/>
      <c r="M133" s="42"/>
      <c r="R133" s="43"/>
      <c r="S133" s="43"/>
    </row>
    <row r="134" spans="3:19">
      <c r="C134" s="43"/>
      <c r="D134" s="42"/>
      <c r="E134" s="42"/>
      <c r="F134" s="43"/>
      <c r="G134" s="42"/>
      <c r="H134" s="42"/>
      <c r="I134" s="43"/>
      <c r="J134" s="42"/>
      <c r="K134" s="42"/>
      <c r="L134" s="42"/>
      <c r="M134" s="42"/>
      <c r="R134" s="43"/>
      <c r="S134" s="43"/>
    </row>
    <row r="135" spans="3:19">
      <c r="C135" s="43"/>
      <c r="D135" s="42"/>
      <c r="E135" s="42"/>
      <c r="F135" s="43"/>
      <c r="G135" s="42"/>
      <c r="H135" s="42"/>
      <c r="I135" s="43"/>
      <c r="J135" s="42"/>
      <c r="K135" s="42"/>
      <c r="L135" s="42"/>
      <c r="M135" s="42"/>
      <c r="R135" s="43"/>
      <c r="S135" s="43"/>
    </row>
    <row r="136" spans="3:19">
      <c r="C136" s="43"/>
      <c r="D136" s="42"/>
      <c r="E136" s="42"/>
      <c r="F136" s="43"/>
      <c r="G136" s="42"/>
      <c r="H136" s="42"/>
      <c r="I136" s="43"/>
      <c r="J136" s="42"/>
      <c r="K136" s="42"/>
      <c r="L136" s="42"/>
      <c r="M136" s="42"/>
      <c r="R136" s="43"/>
      <c r="S136" s="43"/>
    </row>
    <row r="137" spans="3:19">
      <c r="C137" s="43"/>
      <c r="D137" s="42"/>
      <c r="E137" s="42"/>
      <c r="F137" s="43"/>
      <c r="G137" s="42"/>
      <c r="H137" s="42"/>
      <c r="I137" s="43"/>
      <c r="J137" s="42"/>
      <c r="K137" s="42"/>
      <c r="L137" s="42"/>
      <c r="M137" s="42"/>
      <c r="R137" s="43"/>
      <c r="S137" s="43"/>
    </row>
    <row r="138" spans="3:19">
      <c r="C138" s="43"/>
      <c r="D138" s="42"/>
      <c r="E138" s="42"/>
      <c r="F138" s="43"/>
      <c r="G138" s="42"/>
      <c r="H138" s="42"/>
      <c r="I138" s="43"/>
      <c r="J138" s="42"/>
      <c r="K138" s="42"/>
      <c r="L138" s="42"/>
      <c r="M138" s="42"/>
      <c r="R138" s="43"/>
      <c r="S138" s="43"/>
    </row>
    <row r="139" spans="3:19">
      <c r="C139" s="43"/>
      <c r="D139" s="42"/>
      <c r="E139" s="42"/>
      <c r="F139" s="43"/>
      <c r="G139" s="42"/>
      <c r="H139" s="42"/>
      <c r="I139" s="43"/>
      <c r="J139" s="42"/>
      <c r="K139" s="42"/>
      <c r="L139" s="42"/>
      <c r="M139" s="42"/>
      <c r="R139" s="43"/>
      <c r="S139" s="43"/>
    </row>
    <row r="140" spans="3:19">
      <c r="C140" s="43"/>
      <c r="D140" s="42"/>
      <c r="E140" s="42"/>
      <c r="F140" s="43"/>
      <c r="G140" s="42"/>
      <c r="H140" s="42"/>
      <c r="I140" s="43"/>
      <c r="J140" s="42"/>
      <c r="K140" s="42"/>
      <c r="L140" s="42"/>
      <c r="M140" s="42"/>
      <c r="R140" s="43"/>
      <c r="S140" s="43"/>
    </row>
    <row r="141" spans="3:19">
      <c r="C141" s="43"/>
      <c r="D141" s="42"/>
      <c r="E141" s="42"/>
      <c r="F141" s="43"/>
      <c r="G141" s="42"/>
      <c r="H141" s="42"/>
      <c r="I141" s="43"/>
      <c r="J141" s="42"/>
      <c r="K141" s="42"/>
      <c r="L141" s="42"/>
      <c r="M141" s="42"/>
      <c r="R141" s="43"/>
      <c r="S141" s="43"/>
    </row>
    <row r="142" spans="3:19">
      <c r="C142" s="43"/>
      <c r="D142" s="42"/>
      <c r="E142" s="42"/>
      <c r="F142" s="43"/>
      <c r="G142" s="42"/>
      <c r="H142" s="42"/>
      <c r="I142" s="43"/>
      <c r="J142" s="42"/>
      <c r="K142" s="42"/>
      <c r="L142" s="42"/>
      <c r="M142" s="42"/>
      <c r="R142" s="43"/>
      <c r="S142" s="43"/>
    </row>
    <row r="143" spans="3:19">
      <c r="C143" s="43"/>
      <c r="D143" s="42"/>
      <c r="E143" s="42"/>
      <c r="F143" s="43"/>
      <c r="G143" s="42"/>
      <c r="H143" s="42"/>
      <c r="I143" s="43"/>
      <c r="J143" s="42"/>
      <c r="K143" s="42"/>
      <c r="L143" s="42"/>
      <c r="M143" s="42"/>
      <c r="R143" s="43"/>
      <c r="S143" s="43"/>
    </row>
    <row r="144" spans="3:19">
      <c r="C144" s="43"/>
      <c r="D144" s="42"/>
      <c r="E144" s="42"/>
      <c r="F144" s="43"/>
      <c r="G144" s="42"/>
      <c r="H144" s="42"/>
      <c r="I144" s="43"/>
      <c r="J144" s="42"/>
      <c r="K144" s="42"/>
      <c r="L144" s="42"/>
      <c r="M144" s="42"/>
      <c r="R144" s="43"/>
      <c r="S144" s="43"/>
    </row>
    <row r="145" spans="3:19">
      <c r="C145" s="43"/>
      <c r="D145" s="42"/>
      <c r="E145" s="42"/>
      <c r="F145" s="43"/>
      <c r="G145" s="42"/>
      <c r="H145" s="42"/>
      <c r="I145" s="43"/>
      <c r="J145" s="42"/>
      <c r="K145" s="42"/>
      <c r="L145" s="42"/>
      <c r="M145" s="42"/>
      <c r="R145" s="43"/>
      <c r="S145" s="43"/>
    </row>
    <row r="146" spans="3:19">
      <c r="C146" s="43"/>
      <c r="D146" s="42"/>
      <c r="E146" s="42"/>
      <c r="F146" s="43"/>
      <c r="G146" s="42"/>
      <c r="H146" s="42"/>
      <c r="I146" s="43"/>
      <c r="J146" s="42"/>
      <c r="K146" s="42"/>
      <c r="L146" s="42"/>
      <c r="M146" s="42"/>
      <c r="R146" s="43"/>
      <c r="S146" s="43"/>
    </row>
    <row r="147" spans="3:19">
      <c r="C147" s="43"/>
      <c r="D147" s="42"/>
      <c r="E147" s="42"/>
      <c r="F147" s="43"/>
      <c r="G147" s="42"/>
      <c r="H147" s="42"/>
      <c r="I147" s="43"/>
      <c r="J147" s="42"/>
      <c r="K147" s="42"/>
      <c r="L147" s="42"/>
      <c r="M147" s="42"/>
      <c r="R147" s="43"/>
      <c r="S147" s="43"/>
    </row>
    <row r="148" spans="3:19">
      <c r="C148" s="43"/>
      <c r="D148" s="42"/>
      <c r="E148" s="42"/>
      <c r="F148" s="43"/>
      <c r="G148" s="42"/>
      <c r="H148" s="42"/>
      <c r="I148" s="43"/>
      <c r="J148" s="42"/>
      <c r="K148" s="42"/>
      <c r="L148" s="42"/>
      <c r="M148" s="42"/>
      <c r="R148" s="43"/>
      <c r="S148" s="43"/>
    </row>
    <row r="149" spans="3:19">
      <c r="C149" s="43"/>
      <c r="D149" s="42"/>
      <c r="E149" s="42"/>
      <c r="F149" s="43"/>
      <c r="G149" s="42"/>
      <c r="H149" s="42"/>
      <c r="I149" s="43"/>
      <c r="J149" s="42"/>
      <c r="K149" s="42"/>
      <c r="L149" s="42"/>
      <c r="M149" s="42"/>
      <c r="R149" s="43"/>
      <c r="S149" s="43"/>
    </row>
    <row r="150" spans="3:19">
      <c r="C150" s="43"/>
      <c r="D150" s="42"/>
      <c r="E150" s="42"/>
      <c r="F150" s="43"/>
      <c r="G150" s="42"/>
      <c r="H150" s="42"/>
      <c r="I150" s="43"/>
      <c r="J150" s="42"/>
      <c r="K150" s="42"/>
      <c r="L150" s="42"/>
      <c r="M150" s="42"/>
      <c r="R150" s="43"/>
      <c r="S150" s="43"/>
    </row>
    <row r="151" spans="3:19">
      <c r="C151" s="43"/>
      <c r="D151" s="42"/>
      <c r="E151" s="42"/>
      <c r="F151" s="43"/>
      <c r="G151" s="42"/>
      <c r="H151" s="42"/>
      <c r="I151" s="43"/>
      <c r="J151" s="42"/>
      <c r="K151" s="42"/>
      <c r="L151" s="42"/>
      <c r="M151" s="42"/>
      <c r="R151" s="43"/>
      <c r="S151" s="43"/>
    </row>
    <row r="152" spans="3:19">
      <c r="C152" s="43"/>
      <c r="D152" s="42"/>
      <c r="E152" s="42"/>
      <c r="F152" s="43"/>
      <c r="G152" s="42"/>
      <c r="H152" s="42"/>
      <c r="I152" s="43"/>
      <c r="J152" s="42"/>
      <c r="K152" s="42"/>
      <c r="L152" s="42"/>
      <c r="M152" s="42"/>
      <c r="R152" s="43"/>
      <c r="S152" s="43"/>
    </row>
    <row r="153" spans="3:19">
      <c r="C153" s="43"/>
      <c r="D153" s="42"/>
      <c r="E153" s="42"/>
      <c r="F153" s="43"/>
      <c r="G153" s="42"/>
      <c r="H153" s="42"/>
      <c r="I153" s="43"/>
      <c r="J153" s="42"/>
      <c r="K153" s="42"/>
      <c r="L153" s="42"/>
      <c r="M153" s="42"/>
      <c r="R153" s="43"/>
      <c r="S153" s="43"/>
    </row>
    <row r="154" spans="3:19">
      <c r="C154" s="43"/>
      <c r="D154" s="42"/>
      <c r="E154" s="42"/>
      <c r="F154" s="43"/>
      <c r="G154" s="42"/>
      <c r="H154" s="42"/>
      <c r="I154" s="43"/>
      <c r="J154" s="42"/>
      <c r="K154" s="42"/>
      <c r="L154" s="42"/>
      <c r="M154" s="42"/>
      <c r="R154" s="43"/>
      <c r="S154" s="43"/>
    </row>
    <row r="155" spans="3:19">
      <c r="C155" s="43"/>
      <c r="D155" s="42"/>
      <c r="E155" s="42"/>
      <c r="F155" s="43"/>
      <c r="G155" s="42"/>
      <c r="H155" s="42"/>
      <c r="I155" s="43"/>
      <c r="J155" s="42"/>
      <c r="K155" s="42"/>
      <c r="L155" s="42"/>
      <c r="M155" s="42"/>
      <c r="R155" s="43"/>
      <c r="S155" s="43"/>
    </row>
    <row r="156" spans="3:19">
      <c r="C156" s="43"/>
      <c r="D156" s="42"/>
      <c r="E156" s="42"/>
      <c r="F156" s="43"/>
      <c r="G156" s="42"/>
      <c r="H156" s="42"/>
      <c r="I156" s="43"/>
      <c r="J156" s="42"/>
      <c r="K156" s="42"/>
      <c r="L156" s="42"/>
      <c r="M156" s="42"/>
      <c r="R156" s="43"/>
      <c r="S156" s="43"/>
    </row>
    <row r="157" spans="3:19">
      <c r="C157" s="43"/>
      <c r="D157" s="42"/>
      <c r="E157" s="42"/>
      <c r="F157" s="43"/>
      <c r="G157" s="42"/>
      <c r="H157" s="42"/>
      <c r="I157" s="43"/>
      <c r="J157" s="42"/>
      <c r="K157" s="42"/>
      <c r="L157" s="42"/>
      <c r="M157" s="42"/>
      <c r="R157" s="43"/>
      <c r="S157" s="43"/>
    </row>
    <row r="158" spans="3:19">
      <c r="C158" s="43"/>
      <c r="D158" s="42"/>
      <c r="E158" s="42"/>
      <c r="F158" s="43"/>
      <c r="G158" s="42"/>
      <c r="H158" s="42"/>
      <c r="I158" s="43"/>
      <c r="J158" s="42"/>
      <c r="K158" s="42"/>
      <c r="L158" s="42"/>
      <c r="M158" s="42"/>
      <c r="R158" s="43"/>
      <c r="S158" s="43"/>
    </row>
    <row r="159" spans="3:19">
      <c r="C159" s="43"/>
      <c r="D159" s="42"/>
      <c r="E159" s="42"/>
      <c r="F159" s="43"/>
      <c r="G159" s="42"/>
      <c r="H159" s="42"/>
      <c r="I159" s="43"/>
      <c r="J159" s="42"/>
      <c r="K159" s="42"/>
      <c r="L159" s="42"/>
      <c r="M159" s="42"/>
      <c r="R159" s="43"/>
      <c r="S159" s="43"/>
    </row>
  </sheetData>
  <mergeCells count="1">
    <mergeCell ref="C2:N2"/>
  </mergeCells>
  <hyperlinks>
    <hyperlink ref="M5" r:id="rId1"/>
    <hyperlink ref="K5" r:id="rId2"/>
  </hyperlinks>
  <pageMargins left="0.7" right="0.7" top="0.75" bottom="0.75" header="0.3" footer="0.3"/>
  <pageSetup paperSize="9" orientation="portrait" r:id="rId3"/>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9" tint="-0.499984740745262"/>
  </sheetPr>
  <dimension ref="A1:S159"/>
  <sheetViews>
    <sheetView workbookViewId="0"/>
  </sheetViews>
  <sheetFormatPr baseColWidth="10" defaultColWidth="10.5703125" defaultRowHeight="15"/>
  <cols>
    <col min="1" max="1" width="16.5703125" style="8" customWidth="1"/>
    <col min="2" max="2" width="5" style="1" customWidth="1"/>
    <col min="4" max="4" width="13.42578125" style="1" customWidth="1"/>
    <col min="5" max="5" width="11.140625" style="1" customWidth="1"/>
    <col min="6" max="6" width="26.42578125" style="1" customWidth="1"/>
    <col min="7" max="7" width="16.42578125" style="1" customWidth="1"/>
    <col min="8" max="8" width="12.85546875" style="1" customWidth="1"/>
    <col min="9" max="9" width="10.5703125" style="1"/>
    <col min="10" max="10" width="12.42578125" style="1" customWidth="1"/>
    <col min="11" max="11" width="11.5703125" style="1" customWidth="1"/>
    <col min="12" max="12" width="18.85546875" style="1" customWidth="1"/>
    <col min="13" max="13" width="18.5703125" style="1" customWidth="1"/>
    <col min="16" max="16" width="23.42578125" style="1" customWidth="1"/>
    <col min="17" max="17" width="10.5703125" style="1"/>
    <col min="18" max="18" width="21.42578125" style="1" bestFit="1" customWidth="1"/>
    <col min="20" max="16384" width="10.5703125" style="1"/>
  </cols>
  <sheetData>
    <row r="1" spans="1:19" ht="11.1" customHeight="1">
      <c r="C1" s="1"/>
      <c r="N1" s="1"/>
      <c r="O1" s="1"/>
      <c r="S1" s="1"/>
    </row>
    <row r="2" spans="1:19" ht="20.100000000000001" customHeight="1">
      <c r="C2" s="708" t="s">
        <v>923</v>
      </c>
      <c r="D2" s="708"/>
      <c r="E2" s="708"/>
      <c r="F2" s="708"/>
      <c r="G2" s="708"/>
      <c r="H2" s="708"/>
      <c r="I2" s="708"/>
      <c r="J2" s="708"/>
      <c r="K2" s="708"/>
      <c r="L2" s="708"/>
      <c r="M2" s="708"/>
      <c r="N2" s="708"/>
      <c r="O2" s="1"/>
      <c r="S2" s="1"/>
    </row>
    <row r="3" spans="1:19">
      <c r="C3" s="1"/>
      <c r="N3" s="1"/>
      <c r="O3" s="1"/>
      <c r="S3" s="1"/>
    </row>
    <row r="4" spans="1:19" ht="105">
      <c r="A4" s="9"/>
      <c r="C4" s="24" t="s">
        <v>17</v>
      </c>
      <c r="D4" s="23" t="s">
        <v>778</v>
      </c>
      <c r="E4" s="23" t="s">
        <v>19</v>
      </c>
      <c r="F4" s="23" t="s">
        <v>924</v>
      </c>
      <c r="G4" s="22" t="s">
        <v>21</v>
      </c>
      <c r="H4" s="22" t="s">
        <v>22</v>
      </c>
      <c r="I4" s="23" t="s">
        <v>779</v>
      </c>
      <c r="J4" s="24" t="s">
        <v>780</v>
      </c>
      <c r="K4" s="23" t="s">
        <v>24</v>
      </c>
      <c r="L4" s="23" t="s">
        <v>925</v>
      </c>
      <c r="M4" s="23" t="s">
        <v>782</v>
      </c>
      <c r="N4" s="23" t="s">
        <v>224</v>
      </c>
      <c r="O4" s="23" t="s">
        <v>926</v>
      </c>
      <c r="P4" s="23" t="s">
        <v>28</v>
      </c>
      <c r="S4" s="1"/>
    </row>
    <row r="5" spans="1:19" ht="53.1" customHeight="1">
      <c r="C5" s="27" t="s">
        <v>69</v>
      </c>
      <c r="D5" s="26" t="s">
        <v>927</v>
      </c>
      <c r="E5" s="26" t="s">
        <v>720</v>
      </c>
      <c r="F5" s="27" t="s">
        <v>928</v>
      </c>
      <c r="G5" s="26" t="s">
        <v>712</v>
      </c>
      <c r="H5" s="26" t="s">
        <v>722</v>
      </c>
      <c r="I5" s="25" t="s">
        <v>787</v>
      </c>
      <c r="J5" s="25" t="s">
        <v>34</v>
      </c>
      <c r="K5" s="33" t="s">
        <v>723</v>
      </c>
      <c r="L5" s="26" t="s">
        <v>724</v>
      </c>
      <c r="M5" s="33" t="s">
        <v>725</v>
      </c>
      <c r="N5" s="25" t="s">
        <v>788</v>
      </c>
      <c r="O5" s="27" t="s">
        <v>929</v>
      </c>
      <c r="P5" s="51" t="s">
        <v>726</v>
      </c>
      <c r="S5" s="1"/>
    </row>
    <row r="6" spans="1:19" ht="60">
      <c r="C6" s="27" t="s">
        <v>29</v>
      </c>
      <c r="D6" s="26" t="s">
        <v>866</v>
      </c>
      <c r="E6" s="26" t="s">
        <v>310</v>
      </c>
      <c r="F6" s="27" t="s">
        <v>799</v>
      </c>
      <c r="G6" s="26" t="s">
        <v>712</v>
      </c>
      <c r="H6" s="26" t="s">
        <v>930</v>
      </c>
      <c r="I6" s="25" t="s">
        <v>787</v>
      </c>
      <c r="J6" s="25" t="s">
        <v>224</v>
      </c>
      <c r="K6" s="33" t="s">
        <v>801</v>
      </c>
      <c r="L6" s="26" t="s">
        <v>314</v>
      </c>
      <c r="M6" s="34"/>
      <c r="N6" s="25" t="s">
        <v>788</v>
      </c>
      <c r="O6" s="27" t="s">
        <v>931</v>
      </c>
      <c r="P6" s="53" t="s">
        <v>713</v>
      </c>
      <c r="S6" s="1"/>
    </row>
    <row r="7" spans="1:19" ht="43.35" customHeight="1">
      <c r="C7" s="27" t="s">
        <v>829</v>
      </c>
      <c r="D7" s="26" t="s">
        <v>908</v>
      </c>
      <c r="E7" s="26" t="s">
        <v>728</v>
      </c>
      <c r="F7" s="27" t="s">
        <v>932</v>
      </c>
      <c r="G7" s="26" t="s">
        <v>712</v>
      </c>
      <c r="H7" s="26" t="s">
        <v>730</v>
      </c>
      <c r="I7" s="25" t="s">
        <v>814</v>
      </c>
      <c r="J7" s="25" t="s">
        <v>731</v>
      </c>
      <c r="K7" s="33" t="s">
        <v>732</v>
      </c>
      <c r="L7" s="26" t="s">
        <v>733</v>
      </c>
      <c r="M7" s="34"/>
      <c r="N7" s="25" t="s">
        <v>788</v>
      </c>
      <c r="O7" s="27" t="s">
        <v>933</v>
      </c>
      <c r="P7" s="53" t="s">
        <v>713</v>
      </c>
      <c r="S7" s="1"/>
    </row>
    <row r="8" spans="1:19" ht="37.35" customHeight="1">
      <c r="C8" s="27" t="s">
        <v>29</v>
      </c>
      <c r="D8" s="26" t="s">
        <v>866</v>
      </c>
      <c r="E8" s="26" t="s">
        <v>310</v>
      </c>
      <c r="F8" s="27" t="s">
        <v>934</v>
      </c>
      <c r="G8" s="26" t="s">
        <v>712</v>
      </c>
      <c r="H8" s="26" t="s">
        <v>312</v>
      </c>
      <c r="I8" s="25" t="s">
        <v>787</v>
      </c>
      <c r="J8" s="25" t="s">
        <v>224</v>
      </c>
      <c r="K8" s="33" t="s">
        <v>890</v>
      </c>
      <c r="L8" s="26" t="s">
        <v>935</v>
      </c>
      <c r="M8" s="34"/>
      <c r="N8" s="25" t="s">
        <v>788</v>
      </c>
      <c r="O8" s="27" t="s">
        <v>936</v>
      </c>
      <c r="P8" s="53" t="s">
        <v>713</v>
      </c>
      <c r="S8" s="1"/>
    </row>
    <row r="9" spans="1:19" ht="42.75" customHeight="1">
      <c r="C9" s="27" t="s">
        <v>49</v>
      </c>
      <c r="D9" s="26" t="s">
        <v>912</v>
      </c>
      <c r="E9" s="26" t="s">
        <v>187</v>
      </c>
      <c r="F9" s="27" t="s">
        <v>913</v>
      </c>
      <c r="G9" s="26" t="s">
        <v>712</v>
      </c>
      <c r="H9" s="26" t="s">
        <v>715</v>
      </c>
      <c r="I9" s="25" t="s">
        <v>787</v>
      </c>
      <c r="J9" s="25" t="s">
        <v>34</v>
      </c>
      <c r="K9" s="33" t="s">
        <v>716</v>
      </c>
      <c r="L9" s="26" t="s">
        <v>717</v>
      </c>
      <c r="M9" s="33" t="s">
        <v>718</v>
      </c>
      <c r="N9" s="25" t="s">
        <v>788</v>
      </c>
      <c r="O9" s="27" t="s">
        <v>937</v>
      </c>
      <c r="P9" s="52" t="s">
        <v>719</v>
      </c>
      <c r="S9" s="1"/>
    </row>
    <row r="10" spans="1:19" ht="45.75" customHeight="1">
      <c r="C10" s="27" t="s">
        <v>83</v>
      </c>
      <c r="D10" s="26" t="s">
        <v>877</v>
      </c>
      <c r="E10" s="26" t="s">
        <v>657</v>
      </c>
      <c r="F10" s="27" t="s">
        <v>938</v>
      </c>
      <c r="G10" s="26" t="s">
        <v>712</v>
      </c>
      <c r="H10" s="26" t="s">
        <v>659</v>
      </c>
      <c r="I10" s="25" t="s">
        <v>787</v>
      </c>
      <c r="J10" s="25" t="s">
        <v>34</v>
      </c>
      <c r="K10" s="33" t="s">
        <v>660</v>
      </c>
      <c r="L10" s="26" t="s">
        <v>661</v>
      </c>
      <c r="M10" s="33" t="s">
        <v>662</v>
      </c>
      <c r="N10" s="25" t="s">
        <v>788</v>
      </c>
      <c r="O10" s="27" t="s">
        <v>939</v>
      </c>
      <c r="P10" s="53" t="s">
        <v>713</v>
      </c>
      <c r="S10" s="1"/>
    </row>
    <row r="11" spans="1:19" ht="135">
      <c r="C11" s="37" t="s">
        <v>855</v>
      </c>
      <c r="D11" s="30" t="s">
        <v>798</v>
      </c>
      <c r="E11" s="30" t="s">
        <v>856</v>
      </c>
      <c r="F11" s="37" t="s">
        <v>940</v>
      </c>
      <c r="G11" s="30" t="s">
        <v>712</v>
      </c>
      <c r="H11" s="30" t="s">
        <v>710</v>
      </c>
      <c r="I11" s="38" t="s">
        <v>787</v>
      </c>
      <c r="J11" s="38" t="s">
        <v>224</v>
      </c>
      <c r="K11" s="35" t="s">
        <v>801</v>
      </c>
      <c r="L11" s="30" t="s">
        <v>314</v>
      </c>
      <c r="M11" s="36"/>
      <c r="N11" s="38" t="s">
        <v>788</v>
      </c>
      <c r="O11" s="37" t="s">
        <v>941</v>
      </c>
      <c r="P11" s="59" t="s">
        <v>713</v>
      </c>
      <c r="S11" s="1"/>
    </row>
    <row r="12" spans="1:19">
      <c r="C12" s="1"/>
      <c r="N12" s="1"/>
      <c r="O12" s="1"/>
      <c r="S12" s="1"/>
    </row>
    <row r="13" spans="1:19">
      <c r="C13" s="1"/>
      <c r="N13" s="1"/>
      <c r="O13" s="1"/>
      <c r="S13" s="1"/>
    </row>
    <row r="14" spans="1:19">
      <c r="C14" s="1"/>
      <c r="N14" s="1"/>
      <c r="O14" s="1"/>
      <c r="S14" s="1"/>
    </row>
    <row r="15" spans="1:19">
      <c r="C15" s="1"/>
      <c r="N15" s="1"/>
      <c r="O15" s="1"/>
      <c r="S15" s="1"/>
    </row>
    <row r="16" spans="1:19">
      <c r="C16" s="1"/>
      <c r="N16" s="1"/>
      <c r="O16" s="1"/>
      <c r="S16" s="1"/>
    </row>
    <row r="17" spans="3:19">
      <c r="C17" s="1"/>
      <c r="N17" s="1"/>
      <c r="O17" s="1"/>
      <c r="S17" s="1"/>
    </row>
    <row r="18" spans="3:19">
      <c r="C18" s="1"/>
      <c r="N18" s="1"/>
      <c r="O18" s="1"/>
      <c r="S18" s="1"/>
    </row>
    <row r="19" spans="3:19">
      <c r="C19" s="1"/>
      <c r="N19" s="1"/>
      <c r="O19" s="1"/>
      <c r="S19" s="1"/>
    </row>
    <row r="20" spans="3:19">
      <c r="C20" s="1"/>
      <c r="N20" s="1"/>
      <c r="O20" s="1"/>
      <c r="S20" s="1"/>
    </row>
    <row r="21" spans="3:19">
      <c r="C21" s="1"/>
      <c r="N21" s="1"/>
      <c r="O21" s="1"/>
      <c r="S21" s="1"/>
    </row>
    <row r="22" spans="3:19">
      <c r="C22" s="1"/>
      <c r="N22" s="1"/>
      <c r="O22" s="1"/>
      <c r="S22" s="1"/>
    </row>
    <row r="23" spans="3:19">
      <c r="C23" s="1"/>
      <c r="N23" s="1"/>
      <c r="O23" s="1"/>
      <c r="S23" s="1"/>
    </row>
    <row r="24" spans="3:19">
      <c r="C24" s="1"/>
      <c r="N24" s="1"/>
      <c r="O24" s="1"/>
      <c r="S24" s="1"/>
    </row>
    <row r="25" spans="3:19">
      <c r="C25" s="1"/>
      <c r="N25" s="1"/>
      <c r="O25" s="1"/>
      <c r="S25" s="1"/>
    </row>
    <row r="26" spans="3:19">
      <c r="C26" s="1"/>
      <c r="N26" s="1"/>
      <c r="O26" s="1"/>
      <c r="S26" s="1"/>
    </row>
    <row r="27" spans="3:19">
      <c r="C27" s="1"/>
      <c r="N27" s="1"/>
      <c r="O27" s="1"/>
      <c r="S27" s="1"/>
    </row>
    <row r="28" spans="3:19">
      <c r="C28" s="1"/>
      <c r="N28" s="1"/>
      <c r="O28" s="1"/>
      <c r="S28" s="1"/>
    </row>
    <row r="29" spans="3:19">
      <c r="C29" s="1"/>
      <c r="N29" s="1"/>
      <c r="O29" s="1"/>
      <c r="S29" s="1"/>
    </row>
    <row r="30" spans="3:19">
      <c r="C30" s="1"/>
      <c r="N30" s="1"/>
      <c r="O30" s="1"/>
      <c r="S30" s="1"/>
    </row>
    <row r="31" spans="3:19">
      <c r="C31" s="1"/>
      <c r="N31" s="1"/>
      <c r="O31" s="1"/>
      <c r="S31" s="1"/>
    </row>
    <row r="32" spans="3:19">
      <c r="C32" s="1"/>
      <c r="N32" s="1"/>
      <c r="O32" s="1"/>
      <c r="S32" s="1"/>
    </row>
    <row r="33" spans="3:19">
      <c r="C33" s="1"/>
      <c r="N33" s="1"/>
      <c r="O33" s="1"/>
      <c r="S33" s="1"/>
    </row>
    <row r="34" spans="3:19">
      <c r="D34" s="44"/>
      <c r="E34" s="44"/>
      <c r="F34" s="44"/>
      <c r="G34" s="44"/>
      <c r="H34" s="44"/>
      <c r="I34" s="44"/>
      <c r="J34" s="44"/>
      <c r="K34" s="44"/>
      <c r="L34" s="44"/>
      <c r="M34" s="44"/>
      <c r="P34" s="44"/>
      <c r="Q34" s="44"/>
      <c r="R34" s="44"/>
    </row>
    <row r="35" spans="3:19">
      <c r="D35" s="44"/>
      <c r="E35" s="44"/>
      <c r="F35" s="44"/>
      <c r="G35" s="44"/>
      <c r="H35" s="44"/>
      <c r="I35" s="44"/>
      <c r="J35" s="44"/>
      <c r="K35" s="44"/>
      <c r="L35" s="44"/>
      <c r="M35" s="44"/>
      <c r="P35" s="44"/>
      <c r="Q35" s="44"/>
      <c r="R35" s="44"/>
    </row>
    <row r="36" spans="3:19">
      <c r="D36" s="44"/>
      <c r="E36" s="44"/>
      <c r="F36" s="44"/>
      <c r="G36" s="44"/>
      <c r="H36" s="44"/>
      <c r="I36" s="44"/>
      <c r="J36" s="44"/>
      <c r="K36" s="44"/>
      <c r="L36" s="44"/>
      <c r="M36" s="44"/>
      <c r="P36" s="44"/>
      <c r="Q36" s="44"/>
      <c r="R36" s="44"/>
    </row>
    <row r="37" spans="3:19">
      <c r="D37" s="44"/>
      <c r="E37" s="44"/>
      <c r="F37" s="44"/>
      <c r="G37" s="44"/>
      <c r="H37" s="44"/>
      <c r="I37" s="44"/>
      <c r="J37" s="44"/>
      <c r="K37" s="44"/>
      <c r="L37" s="44"/>
      <c r="M37" s="44"/>
      <c r="P37" s="44"/>
      <c r="Q37" s="44"/>
      <c r="R37" s="44"/>
    </row>
    <row r="38" spans="3:19">
      <c r="D38" s="44"/>
      <c r="E38" s="44"/>
      <c r="F38" s="44"/>
      <c r="G38" s="44"/>
      <c r="H38" s="44"/>
      <c r="I38" s="44"/>
      <c r="J38" s="44"/>
      <c r="K38" s="44"/>
      <c r="L38" s="44"/>
      <c r="M38" s="44"/>
      <c r="P38" s="44"/>
      <c r="Q38" s="44"/>
      <c r="R38" s="44"/>
    </row>
    <row r="39" spans="3:19">
      <c r="D39" s="44"/>
      <c r="E39" s="44"/>
      <c r="F39" s="44"/>
      <c r="G39" s="44"/>
      <c r="H39" s="44"/>
      <c r="I39" s="44"/>
      <c r="J39" s="44"/>
      <c r="K39" s="44"/>
      <c r="L39" s="44"/>
      <c r="M39" s="44"/>
      <c r="P39" s="44"/>
      <c r="Q39" s="44"/>
      <c r="R39" s="44"/>
    </row>
    <row r="40" spans="3:19">
      <c r="D40" s="44"/>
      <c r="E40" s="44"/>
      <c r="F40" s="44"/>
      <c r="G40" s="44"/>
      <c r="H40" s="44"/>
      <c r="I40" s="44"/>
      <c r="J40" s="44"/>
      <c r="K40" s="44"/>
      <c r="L40" s="44"/>
      <c r="M40" s="44"/>
      <c r="P40" s="44"/>
      <c r="Q40" s="44"/>
      <c r="R40" s="44"/>
    </row>
    <row r="41" spans="3:19">
      <c r="D41" s="44"/>
      <c r="E41" s="44"/>
      <c r="F41" s="44"/>
      <c r="G41" s="44"/>
      <c r="H41" s="44"/>
      <c r="I41" s="44"/>
      <c r="J41" s="44"/>
      <c r="K41" s="44"/>
      <c r="L41" s="44"/>
      <c r="M41" s="44"/>
      <c r="P41" s="44"/>
      <c r="Q41" s="44"/>
      <c r="R41" s="44"/>
    </row>
    <row r="42" spans="3:19">
      <c r="D42" s="44"/>
      <c r="E42" s="44"/>
      <c r="F42" s="44"/>
      <c r="G42" s="44"/>
      <c r="H42" s="44"/>
      <c r="I42" s="44"/>
      <c r="J42" s="44"/>
      <c r="K42" s="44"/>
      <c r="L42" s="44"/>
      <c r="M42" s="44"/>
      <c r="P42" s="44"/>
      <c r="Q42" s="44"/>
      <c r="R42" s="44"/>
    </row>
    <row r="43" spans="3:19">
      <c r="D43" s="44"/>
      <c r="E43" s="44"/>
      <c r="F43" s="44"/>
      <c r="G43" s="44"/>
      <c r="H43" s="44"/>
      <c r="I43" s="44"/>
      <c r="J43" s="44"/>
      <c r="K43" s="44"/>
      <c r="L43" s="44"/>
      <c r="M43" s="44"/>
      <c r="P43" s="44"/>
      <c r="Q43" s="44"/>
      <c r="R43" s="44"/>
    </row>
    <row r="44" spans="3:19">
      <c r="D44" s="44"/>
      <c r="E44" s="44"/>
      <c r="F44" s="44"/>
      <c r="G44" s="44"/>
      <c r="H44" s="44"/>
      <c r="I44" s="44"/>
      <c r="J44" s="44"/>
      <c r="K44" s="44"/>
      <c r="L44" s="44"/>
      <c r="M44" s="44"/>
      <c r="P44" s="44"/>
      <c r="Q44" s="44"/>
      <c r="R44" s="44"/>
    </row>
    <row r="45" spans="3:19">
      <c r="D45" s="44"/>
      <c r="E45" s="44"/>
      <c r="F45" s="44"/>
      <c r="G45" s="44"/>
      <c r="H45" s="44"/>
      <c r="I45" s="44"/>
      <c r="J45" s="44"/>
      <c r="K45" s="44"/>
      <c r="L45" s="44"/>
      <c r="M45" s="44"/>
      <c r="P45" s="44"/>
      <c r="Q45" s="44"/>
      <c r="R45" s="44"/>
    </row>
    <row r="46" spans="3:19">
      <c r="D46" s="44"/>
      <c r="E46" s="44"/>
      <c r="F46" s="44"/>
      <c r="G46" s="44"/>
      <c r="H46" s="44"/>
      <c r="I46" s="44"/>
      <c r="J46" s="44"/>
      <c r="K46" s="44"/>
      <c r="L46" s="44"/>
      <c r="M46" s="44"/>
      <c r="P46" s="44"/>
      <c r="Q46" s="44"/>
      <c r="R46" s="44"/>
    </row>
    <row r="47" spans="3:19">
      <c r="D47" s="44"/>
      <c r="E47" s="44"/>
      <c r="F47" s="44"/>
      <c r="G47" s="44"/>
      <c r="H47" s="44"/>
      <c r="I47" s="44"/>
      <c r="J47" s="44"/>
      <c r="K47" s="44"/>
      <c r="L47" s="44"/>
      <c r="M47" s="44"/>
      <c r="P47" s="44"/>
      <c r="Q47" s="44"/>
      <c r="R47" s="44"/>
    </row>
    <row r="48" spans="3:19">
      <c r="D48" s="44"/>
      <c r="E48" s="44"/>
      <c r="F48" s="44"/>
      <c r="G48" s="44"/>
      <c r="H48" s="44"/>
      <c r="I48" s="44"/>
      <c r="J48" s="44"/>
      <c r="K48" s="44"/>
      <c r="L48" s="44"/>
      <c r="M48" s="44"/>
      <c r="P48" s="44"/>
      <c r="Q48" s="44"/>
      <c r="R48" s="44"/>
    </row>
    <row r="49" spans="4:18">
      <c r="D49" s="44"/>
      <c r="E49" s="44"/>
      <c r="F49" s="44"/>
      <c r="G49" s="44"/>
      <c r="H49" s="44"/>
      <c r="I49" s="44"/>
      <c r="J49" s="44"/>
      <c r="K49" s="44"/>
      <c r="L49" s="44"/>
      <c r="M49" s="44"/>
      <c r="P49" s="44"/>
      <c r="Q49" s="44"/>
      <c r="R49" s="44"/>
    </row>
    <row r="50" spans="4:18">
      <c r="D50" s="44"/>
      <c r="E50" s="44"/>
      <c r="F50" s="44"/>
      <c r="G50" s="44"/>
      <c r="H50" s="44"/>
      <c r="I50" s="44"/>
      <c r="J50" s="44"/>
      <c r="K50" s="44"/>
      <c r="L50" s="44"/>
      <c r="M50" s="44"/>
      <c r="P50" s="44"/>
      <c r="Q50" s="44"/>
      <c r="R50" s="44"/>
    </row>
    <row r="51" spans="4:18">
      <c r="D51" s="44"/>
      <c r="E51" s="44"/>
      <c r="F51" s="44"/>
      <c r="G51" s="44"/>
      <c r="H51" s="44"/>
      <c r="I51" s="44"/>
      <c r="J51" s="44"/>
      <c r="K51" s="44"/>
      <c r="L51" s="44"/>
      <c r="M51" s="44"/>
      <c r="P51" s="44"/>
      <c r="Q51" s="44"/>
      <c r="R51" s="44"/>
    </row>
    <row r="52" spans="4:18">
      <c r="D52" s="44"/>
      <c r="E52" s="44"/>
      <c r="F52" s="44"/>
      <c r="G52" s="44"/>
      <c r="H52" s="44"/>
      <c r="I52" s="44"/>
      <c r="J52" s="44"/>
      <c r="K52" s="44"/>
      <c r="L52" s="44"/>
      <c r="M52" s="44"/>
      <c r="P52" s="44"/>
      <c r="Q52" s="44"/>
      <c r="R52" s="44"/>
    </row>
    <row r="53" spans="4:18">
      <c r="D53" s="44"/>
      <c r="E53" s="44"/>
      <c r="F53" s="44"/>
      <c r="G53" s="44"/>
      <c r="H53" s="44"/>
      <c r="I53" s="44"/>
      <c r="J53" s="44"/>
      <c r="K53" s="44"/>
      <c r="L53" s="44"/>
      <c r="M53" s="44"/>
      <c r="P53" s="44"/>
      <c r="Q53" s="44"/>
      <c r="R53" s="44"/>
    </row>
    <row r="54" spans="4:18">
      <c r="D54" s="44"/>
      <c r="E54" s="44"/>
      <c r="F54" s="44"/>
      <c r="G54" s="44"/>
      <c r="H54" s="44"/>
      <c r="I54" s="44"/>
      <c r="J54" s="44"/>
      <c r="K54" s="44"/>
      <c r="L54" s="44"/>
      <c r="M54" s="44"/>
      <c r="P54" s="44"/>
      <c r="Q54" s="44"/>
      <c r="R54" s="44"/>
    </row>
    <row r="55" spans="4:18">
      <c r="D55" s="44"/>
      <c r="E55" s="44"/>
      <c r="F55" s="44"/>
      <c r="G55" s="44"/>
      <c r="H55" s="44"/>
      <c r="I55" s="44"/>
      <c r="J55" s="44"/>
      <c r="K55" s="44"/>
      <c r="L55" s="44"/>
      <c r="M55" s="44"/>
      <c r="P55" s="44"/>
      <c r="Q55" s="44"/>
      <c r="R55" s="44"/>
    </row>
    <row r="56" spans="4:18">
      <c r="D56" s="44"/>
      <c r="E56" s="44"/>
      <c r="F56" s="44"/>
      <c r="G56" s="44"/>
      <c r="H56" s="44"/>
      <c r="I56" s="44"/>
      <c r="J56" s="44"/>
      <c r="K56" s="44"/>
      <c r="L56" s="44"/>
      <c r="M56" s="44"/>
      <c r="P56" s="44"/>
      <c r="Q56" s="44"/>
      <c r="R56" s="44"/>
    </row>
    <row r="57" spans="4:18">
      <c r="D57" s="44"/>
      <c r="E57" s="44"/>
      <c r="F57" s="44"/>
      <c r="G57" s="44"/>
      <c r="H57" s="44"/>
      <c r="I57" s="44"/>
      <c r="J57" s="44"/>
      <c r="K57" s="44"/>
      <c r="L57" s="44"/>
      <c r="M57" s="44"/>
      <c r="P57" s="44"/>
      <c r="Q57" s="44"/>
      <c r="R57" s="44"/>
    </row>
    <row r="58" spans="4:18">
      <c r="D58" s="44"/>
      <c r="E58" s="44"/>
      <c r="F58" s="44"/>
      <c r="G58" s="44"/>
      <c r="H58" s="44"/>
      <c r="I58" s="44"/>
      <c r="J58" s="44"/>
      <c r="K58" s="44"/>
      <c r="L58" s="44"/>
      <c r="M58" s="44"/>
      <c r="P58" s="44"/>
      <c r="Q58" s="44"/>
      <c r="R58" s="44"/>
    </row>
    <row r="59" spans="4:18">
      <c r="D59" s="44"/>
      <c r="E59" s="44"/>
      <c r="F59" s="44"/>
      <c r="G59" s="44"/>
      <c r="H59" s="44"/>
      <c r="I59" s="44"/>
      <c r="J59" s="44"/>
      <c r="K59" s="44"/>
      <c r="L59" s="44"/>
      <c r="M59" s="44"/>
      <c r="P59" s="44"/>
      <c r="Q59" s="44"/>
      <c r="R59" s="44"/>
    </row>
    <row r="60" spans="4:18">
      <c r="D60" s="44"/>
      <c r="E60" s="44"/>
      <c r="F60" s="44"/>
      <c r="G60" s="44"/>
      <c r="H60" s="44"/>
      <c r="I60" s="44"/>
      <c r="J60" s="44"/>
      <c r="K60" s="44"/>
      <c r="L60" s="44"/>
      <c r="M60" s="44"/>
      <c r="P60" s="44"/>
      <c r="Q60" s="44"/>
      <c r="R60" s="44"/>
    </row>
    <row r="61" spans="4:18">
      <c r="D61" s="44"/>
      <c r="E61" s="44"/>
      <c r="F61" s="44"/>
      <c r="G61" s="44"/>
      <c r="H61" s="44"/>
      <c r="I61" s="44"/>
      <c r="J61" s="44"/>
      <c r="K61" s="44"/>
      <c r="L61" s="44"/>
      <c r="M61" s="44"/>
      <c r="P61" s="44"/>
      <c r="Q61" s="44"/>
      <c r="R61" s="44"/>
    </row>
    <row r="62" spans="4:18">
      <c r="D62" s="44"/>
      <c r="E62" s="44"/>
      <c r="F62" s="45"/>
      <c r="G62" s="44"/>
      <c r="H62" s="44"/>
      <c r="I62" s="45"/>
      <c r="J62" s="44"/>
      <c r="K62" s="44"/>
      <c r="L62" s="44"/>
      <c r="M62" s="44"/>
      <c r="P62" s="45"/>
      <c r="Q62" s="45"/>
      <c r="R62" s="45"/>
    </row>
    <row r="63" spans="4:18">
      <c r="D63" s="44"/>
      <c r="E63" s="44"/>
      <c r="F63" s="45"/>
      <c r="G63" s="44"/>
      <c r="H63" s="44"/>
      <c r="I63" s="45"/>
      <c r="J63" s="44"/>
      <c r="K63" s="44"/>
      <c r="L63" s="44"/>
      <c r="M63" s="44"/>
      <c r="P63" s="45"/>
      <c r="Q63" s="45"/>
      <c r="R63" s="45"/>
    </row>
    <row r="64" spans="4:18">
      <c r="D64" s="44"/>
      <c r="E64" s="44"/>
      <c r="F64" s="45"/>
      <c r="G64" s="44"/>
      <c r="H64" s="44"/>
      <c r="I64" s="45"/>
      <c r="J64" s="44"/>
      <c r="K64" s="44"/>
      <c r="L64" s="44"/>
      <c r="M64" s="44"/>
      <c r="P64" s="45"/>
      <c r="Q64" s="45"/>
      <c r="R64" s="45"/>
    </row>
    <row r="65" spans="4:18">
      <c r="D65" s="44"/>
      <c r="E65" s="44"/>
      <c r="F65" s="45"/>
      <c r="G65" s="44"/>
      <c r="H65" s="44"/>
      <c r="I65" s="45"/>
      <c r="J65" s="44"/>
      <c r="K65" s="44"/>
      <c r="L65" s="44"/>
      <c r="M65" s="44"/>
      <c r="P65" s="45"/>
      <c r="Q65" s="45"/>
      <c r="R65" s="45"/>
    </row>
    <row r="66" spans="4:18">
      <c r="D66" s="44"/>
      <c r="E66" s="44"/>
      <c r="F66" s="45"/>
      <c r="G66" s="44"/>
      <c r="H66" s="44"/>
      <c r="I66" s="45"/>
      <c r="J66" s="44"/>
      <c r="K66" s="44"/>
      <c r="L66" s="44"/>
      <c r="M66" s="44"/>
      <c r="P66" s="45"/>
      <c r="Q66" s="45"/>
      <c r="R66" s="45"/>
    </row>
    <row r="67" spans="4:18">
      <c r="D67" s="44"/>
      <c r="E67" s="44"/>
      <c r="F67" s="45"/>
      <c r="G67" s="44"/>
      <c r="H67" s="44"/>
      <c r="I67" s="45"/>
      <c r="J67" s="44"/>
      <c r="K67" s="44"/>
      <c r="L67" s="44"/>
      <c r="M67" s="44"/>
      <c r="P67" s="45"/>
      <c r="Q67" s="45"/>
      <c r="R67" s="45"/>
    </row>
    <row r="68" spans="4:18">
      <c r="D68" s="44"/>
      <c r="E68" s="44"/>
      <c r="F68" s="45"/>
      <c r="G68" s="44"/>
      <c r="H68" s="44"/>
      <c r="I68" s="45"/>
      <c r="J68" s="44"/>
      <c r="K68" s="44"/>
      <c r="L68" s="44"/>
      <c r="M68" s="44"/>
      <c r="P68" s="45"/>
      <c r="Q68" s="45"/>
      <c r="R68" s="45"/>
    </row>
    <row r="69" spans="4:18">
      <c r="D69" s="44"/>
      <c r="E69" s="44"/>
      <c r="F69" s="45"/>
      <c r="G69" s="44"/>
      <c r="H69" s="44"/>
      <c r="I69" s="45"/>
      <c r="J69" s="44"/>
      <c r="K69" s="44"/>
      <c r="L69" s="44"/>
      <c r="M69" s="44"/>
      <c r="P69" s="45"/>
      <c r="Q69" s="45"/>
      <c r="R69" s="45"/>
    </row>
    <row r="70" spans="4:18">
      <c r="D70" s="44"/>
      <c r="E70" s="44"/>
      <c r="F70" s="45"/>
      <c r="G70" s="44"/>
      <c r="H70" s="44"/>
      <c r="I70" s="45"/>
      <c r="J70" s="44"/>
      <c r="K70" s="44"/>
      <c r="L70" s="44"/>
      <c r="M70" s="44"/>
      <c r="P70" s="45"/>
      <c r="Q70" s="45"/>
      <c r="R70" s="45"/>
    </row>
    <row r="71" spans="4:18">
      <c r="D71" s="44"/>
      <c r="E71" s="44"/>
      <c r="F71" s="45"/>
      <c r="G71" s="44"/>
      <c r="H71" s="44"/>
      <c r="I71" s="45"/>
      <c r="J71" s="44"/>
      <c r="K71" s="44"/>
      <c r="L71" s="44"/>
      <c r="M71" s="44"/>
      <c r="P71" s="45"/>
      <c r="Q71" s="45"/>
      <c r="R71" s="45"/>
    </row>
    <row r="72" spans="4:18">
      <c r="D72" s="44"/>
      <c r="E72" s="44"/>
      <c r="F72" s="45"/>
      <c r="G72" s="44"/>
      <c r="H72" s="44"/>
      <c r="I72" s="45"/>
      <c r="J72" s="44"/>
      <c r="K72" s="44"/>
      <c r="L72" s="44"/>
      <c r="M72" s="44"/>
      <c r="P72" s="45"/>
      <c r="Q72" s="45"/>
      <c r="R72" s="45"/>
    </row>
    <row r="73" spans="4:18">
      <c r="D73" s="44"/>
      <c r="E73" s="44"/>
      <c r="F73" s="45"/>
      <c r="G73" s="44"/>
      <c r="H73" s="44"/>
      <c r="I73" s="45"/>
      <c r="J73" s="44"/>
      <c r="K73" s="44"/>
      <c r="L73" s="44"/>
      <c r="M73" s="44"/>
      <c r="P73" s="45"/>
      <c r="Q73" s="45"/>
      <c r="R73" s="45"/>
    </row>
    <row r="74" spans="4:18">
      <c r="D74" s="44"/>
      <c r="E74" s="44"/>
      <c r="F74" s="45"/>
      <c r="G74" s="44"/>
      <c r="H74" s="44"/>
      <c r="I74" s="45"/>
      <c r="J74" s="44"/>
      <c r="K74" s="44"/>
      <c r="L74" s="44"/>
      <c r="M74" s="44"/>
      <c r="P74" s="45"/>
      <c r="Q74" s="45"/>
      <c r="R74" s="45"/>
    </row>
    <row r="75" spans="4:18">
      <c r="D75" s="44"/>
      <c r="E75" s="44"/>
      <c r="F75" s="45"/>
      <c r="G75" s="44"/>
      <c r="H75" s="44"/>
      <c r="I75" s="45"/>
      <c r="J75" s="44"/>
      <c r="K75" s="44"/>
      <c r="L75" s="44"/>
      <c r="M75" s="44"/>
      <c r="P75" s="45"/>
      <c r="Q75" s="45"/>
      <c r="R75" s="45"/>
    </row>
    <row r="76" spans="4:18">
      <c r="D76" s="44"/>
      <c r="E76" s="44"/>
      <c r="F76" s="45"/>
      <c r="G76" s="44"/>
      <c r="H76" s="44"/>
      <c r="I76" s="45"/>
      <c r="J76" s="44"/>
      <c r="K76" s="44"/>
      <c r="L76" s="44"/>
      <c r="M76" s="44"/>
      <c r="P76" s="45"/>
      <c r="Q76" s="45"/>
      <c r="R76" s="45"/>
    </row>
    <row r="77" spans="4:18">
      <c r="D77" s="44"/>
      <c r="E77" s="44"/>
      <c r="F77" s="45"/>
      <c r="G77" s="44"/>
      <c r="H77" s="44"/>
      <c r="I77" s="45"/>
      <c r="J77" s="44"/>
      <c r="K77" s="44"/>
      <c r="L77" s="44"/>
      <c r="M77" s="44"/>
      <c r="P77" s="45"/>
      <c r="Q77" s="45"/>
      <c r="R77" s="45"/>
    </row>
    <row r="78" spans="4:18">
      <c r="D78" s="44"/>
      <c r="E78" s="44"/>
      <c r="F78" s="45"/>
      <c r="G78" s="44"/>
      <c r="H78" s="44"/>
      <c r="I78" s="45"/>
      <c r="J78" s="44"/>
      <c r="K78" s="44"/>
      <c r="L78" s="44"/>
      <c r="M78" s="44"/>
      <c r="P78" s="45"/>
      <c r="Q78" s="45"/>
      <c r="R78" s="45"/>
    </row>
    <row r="79" spans="4:18">
      <c r="D79" s="44"/>
      <c r="E79" s="44"/>
      <c r="F79" s="45"/>
      <c r="G79" s="44"/>
      <c r="H79" s="44"/>
      <c r="I79" s="45"/>
      <c r="J79" s="44"/>
      <c r="K79" s="44"/>
      <c r="L79" s="44"/>
      <c r="M79" s="44"/>
      <c r="P79" s="45"/>
      <c r="Q79" s="45"/>
      <c r="R79" s="45"/>
    </row>
    <row r="80" spans="4:18">
      <c r="D80" s="44"/>
      <c r="E80" s="44"/>
      <c r="F80" s="45"/>
      <c r="G80" s="44"/>
      <c r="H80" s="44"/>
      <c r="I80" s="45"/>
      <c r="J80" s="44"/>
      <c r="K80" s="44"/>
      <c r="L80" s="44"/>
      <c r="M80" s="44"/>
      <c r="P80" s="45"/>
      <c r="Q80" s="45"/>
      <c r="R80" s="45"/>
    </row>
    <row r="81" spans="4:18">
      <c r="D81" s="44"/>
      <c r="E81" s="44"/>
      <c r="F81" s="45"/>
      <c r="G81" s="44"/>
      <c r="H81" s="44"/>
      <c r="I81" s="45"/>
      <c r="J81" s="44"/>
      <c r="K81" s="44"/>
      <c r="L81" s="44"/>
      <c r="M81" s="44"/>
      <c r="P81" s="45"/>
      <c r="Q81" s="45"/>
      <c r="R81" s="45"/>
    </row>
    <row r="82" spans="4:18">
      <c r="D82" s="44"/>
      <c r="E82" s="44"/>
      <c r="F82" s="45"/>
      <c r="G82" s="44"/>
      <c r="H82" s="44"/>
      <c r="I82" s="45"/>
      <c r="J82" s="44"/>
      <c r="K82" s="44"/>
      <c r="L82" s="44"/>
      <c r="M82" s="44"/>
      <c r="P82" s="45"/>
      <c r="Q82" s="45"/>
      <c r="R82" s="45"/>
    </row>
    <row r="83" spans="4:18">
      <c r="D83" s="44"/>
      <c r="E83" s="44"/>
      <c r="F83" s="45"/>
      <c r="G83" s="44"/>
      <c r="H83" s="44"/>
      <c r="I83" s="45"/>
      <c r="J83" s="44"/>
      <c r="K83" s="44"/>
      <c r="L83" s="44"/>
      <c r="M83" s="44"/>
      <c r="P83" s="45"/>
      <c r="Q83" s="45"/>
      <c r="R83" s="45"/>
    </row>
    <row r="84" spans="4:18">
      <c r="D84" s="44"/>
      <c r="E84" s="44"/>
      <c r="F84" s="45"/>
      <c r="G84" s="44"/>
      <c r="H84" s="44"/>
      <c r="I84" s="45"/>
      <c r="J84" s="44"/>
      <c r="K84" s="44"/>
      <c r="L84" s="44"/>
      <c r="M84" s="44"/>
      <c r="P84" s="45"/>
      <c r="Q84" s="45"/>
      <c r="R84" s="45"/>
    </row>
    <row r="85" spans="4:18">
      <c r="D85" s="44"/>
      <c r="E85" s="44"/>
      <c r="F85" s="45"/>
      <c r="G85" s="44"/>
      <c r="H85" s="44"/>
      <c r="I85" s="45"/>
      <c r="J85" s="44"/>
      <c r="K85" s="44"/>
      <c r="L85" s="44"/>
      <c r="M85" s="44"/>
      <c r="P85" s="45"/>
      <c r="Q85" s="45"/>
      <c r="R85" s="45"/>
    </row>
    <row r="86" spans="4:18">
      <c r="D86" s="44"/>
      <c r="E86" s="44"/>
      <c r="F86" s="45"/>
      <c r="G86" s="44"/>
      <c r="H86" s="44"/>
      <c r="I86" s="45"/>
      <c r="J86" s="44"/>
      <c r="K86" s="44"/>
      <c r="L86" s="44"/>
      <c r="M86" s="44"/>
      <c r="P86" s="45"/>
      <c r="Q86" s="45"/>
      <c r="R86" s="45"/>
    </row>
    <row r="87" spans="4:18">
      <c r="D87" s="44"/>
      <c r="E87" s="44"/>
      <c r="F87" s="45"/>
      <c r="G87" s="44"/>
      <c r="H87" s="44"/>
      <c r="I87" s="45"/>
      <c r="J87" s="44"/>
      <c r="K87" s="44"/>
      <c r="L87" s="44"/>
      <c r="M87" s="44"/>
      <c r="P87" s="45"/>
      <c r="Q87" s="45"/>
      <c r="R87" s="45"/>
    </row>
    <row r="88" spans="4:18">
      <c r="D88" s="44"/>
      <c r="E88" s="44"/>
      <c r="F88" s="45"/>
      <c r="G88" s="44"/>
      <c r="H88" s="44"/>
      <c r="I88" s="45"/>
      <c r="J88" s="44"/>
      <c r="K88" s="44"/>
      <c r="L88" s="44"/>
      <c r="M88" s="44"/>
      <c r="P88" s="45"/>
      <c r="Q88" s="45"/>
      <c r="R88" s="45"/>
    </row>
    <row r="89" spans="4:18">
      <c r="D89" s="44"/>
      <c r="E89" s="44"/>
      <c r="F89" s="45"/>
      <c r="G89" s="44"/>
      <c r="H89" s="44"/>
      <c r="I89" s="45"/>
      <c r="J89" s="44"/>
      <c r="K89" s="44"/>
      <c r="L89" s="44"/>
      <c r="M89" s="44"/>
      <c r="P89" s="45"/>
      <c r="Q89" s="45"/>
      <c r="R89" s="45"/>
    </row>
    <row r="90" spans="4:18">
      <c r="D90" s="44"/>
      <c r="E90" s="44"/>
      <c r="F90" s="45"/>
      <c r="G90" s="44"/>
      <c r="H90" s="44"/>
      <c r="I90" s="45"/>
      <c r="J90" s="44"/>
      <c r="K90" s="44"/>
      <c r="L90" s="44"/>
      <c r="M90" s="44"/>
      <c r="P90" s="45"/>
      <c r="Q90" s="45"/>
      <c r="R90" s="45"/>
    </row>
    <row r="91" spans="4:18">
      <c r="D91" s="44"/>
      <c r="E91" s="44"/>
      <c r="F91" s="45"/>
      <c r="G91" s="44"/>
      <c r="H91" s="44"/>
      <c r="I91" s="45"/>
      <c r="J91" s="44"/>
      <c r="K91" s="44"/>
      <c r="L91" s="44"/>
      <c r="M91" s="44"/>
      <c r="P91" s="45"/>
      <c r="Q91" s="45"/>
      <c r="R91" s="45"/>
    </row>
    <row r="92" spans="4:18">
      <c r="D92" s="44"/>
      <c r="E92" s="44"/>
      <c r="F92" s="45"/>
      <c r="G92" s="44"/>
      <c r="H92" s="44"/>
      <c r="I92" s="45"/>
      <c r="J92" s="44"/>
      <c r="K92" s="44"/>
      <c r="L92" s="44"/>
      <c r="M92" s="44"/>
      <c r="P92" s="45"/>
      <c r="Q92" s="45"/>
      <c r="R92" s="45"/>
    </row>
    <row r="93" spans="4:18">
      <c r="D93" s="44"/>
      <c r="E93" s="44"/>
      <c r="F93" s="45"/>
      <c r="G93" s="44"/>
      <c r="H93" s="44"/>
      <c r="I93" s="45"/>
      <c r="J93" s="44"/>
      <c r="K93" s="44"/>
      <c r="L93" s="44"/>
      <c r="M93" s="44"/>
      <c r="P93" s="45"/>
      <c r="Q93" s="45"/>
      <c r="R93" s="45"/>
    </row>
    <row r="94" spans="4:18">
      <c r="D94" s="44"/>
      <c r="E94" s="44"/>
      <c r="F94" s="45"/>
      <c r="G94" s="44"/>
      <c r="H94" s="44"/>
      <c r="I94" s="45"/>
      <c r="J94" s="44"/>
      <c r="K94" s="44"/>
      <c r="L94" s="44"/>
      <c r="M94" s="44"/>
      <c r="P94" s="45"/>
      <c r="Q94" s="45"/>
      <c r="R94" s="45"/>
    </row>
    <row r="95" spans="4:18">
      <c r="D95" s="44"/>
      <c r="E95" s="44"/>
      <c r="F95" s="45"/>
      <c r="G95" s="44"/>
      <c r="H95" s="44"/>
      <c r="I95" s="45"/>
      <c r="J95" s="44"/>
      <c r="K95" s="44"/>
      <c r="L95" s="44"/>
      <c r="M95" s="44"/>
      <c r="P95" s="45"/>
      <c r="Q95" s="45"/>
      <c r="R95" s="45"/>
    </row>
    <row r="96" spans="4:18">
      <c r="D96" s="44"/>
      <c r="E96" s="44"/>
      <c r="F96" s="45"/>
      <c r="G96" s="44"/>
      <c r="H96" s="44"/>
      <c r="I96" s="45"/>
      <c r="J96" s="44"/>
      <c r="K96" s="44"/>
      <c r="L96" s="44"/>
      <c r="M96" s="44"/>
      <c r="P96" s="45"/>
      <c r="Q96" s="45"/>
      <c r="R96" s="45"/>
    </row>
    <row r="97" spans="4:18">
      <c r="D97" s="44"/>
      <c r="E97" s="44"/>
      <c r="F97" s="45"/>
      <c r="G97" s="44"/>
      <c r="H97" s="44"/>
      <c r="I97" s="45"/>
      <c r="J97" s="44"/>
      <c r="K97" s="44"/>
      <c r="L97" s="44"/>
      <c r="M97" s="44"/>
      <c r="P97" s="45"/>
      <c r="Q97" s="45"/>
      <c r="R97" s="45"/>
    </row>
    <row r="98" spans="4:18">
      <c r="D98" s="44"/>
      <c r="E98" s="44"/>
      <c r="F98" s="45"/>
      <c r="G98" s="44"/>
      <c r="H98" s="44"/>
      <c r="I98" s="45"/>
      <c r="J98" s="44"/>
      <c r="K98" s="44"/>
      <c r="L98" s="44"/>
      <c r="M98" s="44"/>
      <c r="P98" s="45"/>
      <c r="Q98" s="45"/>
      <c r="R98" s="45"/>
    </row>
    <row r="99" spans="4:18">
      <c r="D99" s="44"/>
      <c r="E99" s="44"/>
      <c r="F99" s="45"/>
      <c r="G99" s="44"/>
      <c r="H99" s="44"/>
      <c r="I99" s="45"/>
      <c r="J99" s="44"/>
      <c r="K99" s="44"/>
      <c r="L99" s="44"/>
      <c r="M99" s="44"/>
      <c r="P99" s="45"/>
      <c r="Q99" s="45"/>
      <c r="R99" s="45"/>
    </row>
    <row r="100" spans="4:18">
      <c r="D100" s="44"/>
      <c r="E100" s="44"/>
      <c r="F100" s="45"/>
      <c r="G100" s="44"/>
      <c r="H100" s="44"/>
      <c r="I100" s="45"/>
      <c r="J100" s="44"/>
      <c r="K100" s="44"/>
      <c r="L100" s="44"/>
      <c r="M100" s="44"/>
      <c r="P100" s="45"/>
      <c r="Q100" s="45"/>
      <c r="R100" s="45"/>
    </row>
    <row r="101" spans="4:18">
      <c r="D101" s="44"/>
      <c r="E101" s="44"/>
      <c r="F101" s="45"/>
      <c r="G101" s="44"/>
      <c r="H101" s="44"/>
      <c r="I101" s="45"/>
      <c r="J101" s="44"/>
      <c r="K101" s="44"/>
      <c r="L101" s="44"/>
      <c r="M101" s="44"/>
      <c r="P101" s="45"/>
      <c r="Q101" s="45"/>
      <c r="R101" s="45"/>
    </row>
    <row r="102" spans="4:18">
      <c r="D102" s="44"/>
      <c r="E102" s="44"/>
      <c r="F102" s="45"/>
      <c r="G102" s="44"/>
      <c r="H102" s="44"/>
      <c r="I102" s="45"/>
      <c r="J102" s="44"/>
      <c r="K102" s="44"/>
      <c r="L102" s="44"/>
      <c r="M102" s="44"/>
      <c r="P102" s="45"/>
      <c r="Q102" s="45"/>
      <c r="R102" s="45"/>
    </row>
    <row r="103" spans="4:18">
      <c r="D103" s="44"/>
      <c r="E103" s="44"/>
      <c r="F103" s="45"/>
      <c r="G103" s="44"/>
      <c r="H103" s="44"/>
      <c r="I103" s="45"/>
      <c r="J103" s="44"/>
      <c r="K103" s="44"/>
      <c r="L103" s="44"/>
      <c r="M103" s="44"/>
      <c r="P103" s="45"/>
      <c r="Q103" s="45"/>
      <c r="R103" s="45"/>
    </row>
    <row r="104" spans="4:18">
      <c r="D104" s="44"/>
      <c r="E104" s="44"/>
      <c r="F104" s="45"/>
      <c r="G104" s="44"/>
      <c r="H104" s="44"/>
      <c r="I104" s="45"/>
      <c r="J104" s="44"/>
      <c r="K104" s="44"/>
      <c r="L104" s="44"/>
      <c r="M104" s="44"/>
      <c r="P104" s="45"/>
      <c r="Q104" s="45"/>
      <c r="R104" s="45"/>
    </row>
    <row r="105" spans="4:18">
      <c r="D105" s="44"/>
      <c r="E105" s="44"/>
      <c r="F105" s="45"/>
      <c r="G105" s="44"/>
      <c r="H105" s="44"/>
      <c r="I105" s="45"/>
      <c r="J105" s="44"/>
      <c r="K105" s="44"/>
      <c r="L105" s="44"/>
      <c r="M105" s="44"/>
      <c r="P105" s="45"/>
      <c r="Q105" s="45"/>
      <c r="R105" s="45"/>
    </row>
    <row r="106" spans="4:18">
      <c r="D106" s="44"/>
      <c r="E106" s="44"/>
      <c r="F106" s="45"/>
      <c r="G106" s="44"/>
      <c r="H106" s="44"/>
      <c r="I106" s="45"/>
      <c r="J106" s="44"/>
      <c r="K106" s="44"/>
      <c r="L106" s="44"/>
      <c r="M106" s="44"/>
      <c r="P106" s="45"/>
      <c r="Q106" s="45"/>
      <c r="R106" s="45"/>
    </row>
    <row r="107" spans="4:18">
      <c r="D107" s="44"/>
      <c r="E107" s="44"/>
      <c r="F107" s="45"/>
      <c r="G107" s="44"/>
      <c r="H107" s="44"/>
      <c r="I107" s="45"/>
      <c r="J107" s="44"/>
      <c r="K107" s="44"/>
      <c r="L107" s="44"/>
      <c r="M107" s="44"/>
      <c r="P107" s="45"/>
      <c r="Q107" s="45"/>
      <c r="R107" s="45"/>
    </row>
    <row r="108" spans="4:18">
      <c r="D108" s="44"/>
      <c r="E108" s="44"/>
      <c r="F108" s="45"/>
      <c r="G108" s="44"/>
      <c r="H108" s="44"/>
      <c r="I108" s="45"/>
      <c r="J108" s="44"/>
      <c r="K108" s="44"/>
      <c r="L108" s="44"/>
      <c r="M108" s="44"/>
      <c r="P108" s="45"/>
      <c r="Q108" s="45"/>
      <c r="R108" s="45"/>
    </row>
    <row r="109" spans="4:18">
      <c r="D109" s="44"/>
      <c r="E109" s="44"/>
      <c r="F109" s="45"/>
      <c r="G109" s="44"/>
      <c r="H109" s="44"/>
      <c r="I109" s="45"/>
      <c r="J109" s="44"/>
      <c r="K109" s="44"/>
      <c r="L109" s="44"/>
      <c r="M109" s="44"/>
      <c r="P109" s="45"/>
      <c r="Q109" s="45"/>
      <c r="R109" s="45"/>
    </row>
    <row r="110" spans="4:18">
      <c r="D110" s="44"/>
      <c r="E110" s="44"/>
      <c r="F110" s="45"/>
      <c r="G110" s="44"/>
      <c r="H110" s="44"/>
      <c r="I110" s="45"/>
      <c r="J110" s="44"/>
      <c r="K110" s="44"/>
      <c r="L110" s="44"/>
      <c r="M110" s="44"/>
      <c r="P110" s="45"/>
      <c r="Q110" s="45"/>
      <c r="R110" s="45"/>
    </row>
    <row r="111" spans="4:18">
      <c r="D111" s="44"/>
      <c r="E111" s="44"/>
      <c r="F111" s="45"/>
      <c r="G111" s="44"/>
      <c r="H111" s="44"/>
      <c r="I111" s="45"/>
      <c r="J111" s="44"/>
      <c r="K111" s="44"/>
      <c r="L111" s="44"/>
      <c r="M111" s="44"/>
      <c r="P111" s="45"/>
      <c r="Q111" s="45"/>
      <c r="R111" s="45"/>
    </row>
    <row r="112" spans="4:18">
      <c r="D112" s="44"/>
      <c r="E112" s="44"/>
      <c r="F112" s="45"/>
      <c r="G112" s="44"/>
      <c r="H112" s="44"/>
      <c r="I112" s="45"/>
      <c r="J112" s="44"/>
      <c r="K112" s="44"/>
      <c r="L112" s="44"/>
      <c r="M112" s="44"/>
      <c r="P112" s="45"/>
      <c r="Q112" s="45"/>
      <c r="R112" s="45"/>
    </row>
    <row r="113" spans="4:18">
      <c r="D113" s="44"/>
      <c r="E113" s="44"/>
      <c r="F113" s="45"/>
      <c r="G113" s="44"/>
      <c r="H113" s="44"/>
      <c r="I113" s="45"/>
      <c r="J113" s="44"/>
      <c r="K113" s="44"/>
      <c r="L113" s="44"/>
      <c r="M113" s="44"/>
      <c r="P113" s="45"/>
      <c r="Q113" s="45"/>
      <c r="R113" s="45"/>
    </row>
    <row r="114" spans="4:18">
      <c r="D114" s="44"/>
      <c r="E114" s="44"/>
      <c r="F114" s="45"/>
      <c r="G114" s="44"/>
      <c r="H114" s="44"/>
      <c r="I114" s="45"/>
      <c r="J114" s="44"/>
      <c r="K114" s="44"/>
      <c r="L114" s="44"/>
      <c r="M114" s="44"/>
      <c r="P114" s="45"/>
      <c r="Q114" s="45"/>
      <c r="R114" s="45"/>
    </row>
    <row r="115" spans="4:18">
      <c r="D115" s="44"/>
      <c r="E115" s="44"/>
      <c r="F115" s="45"/>
      <c r="G115" s="44"/>
      <c r="H115" s="44"/>
      <c r="I115" s="45"/>
      <c r="J115" s="44"/>
      <c r="K115" s="44"/>
      <c r="L115" s="44"/>
      <c r="M115" s="44"/>
      <c r="P115" s="45"/>
      <c r="Q115" s="45"/>
      <c r="R115" s="45"/>
    </row>
    <row r="116" spans="4:18">
      <c r="D116" s="44"/>
      <c r="E116" s="44"/>
      <c r="F116" s="45"/>
      <c r="G116" s="44"/>
      <c r="H116" s="44"/>
      <c r="I116" s="45"/>
      <c r="J116" s="44"/>
      <c r="K116" s="44"/>
      <c r="L116" s="44"/>
      <c r="M116" s="44"/>
      <c r="P116" s="45"/>
      <c r="Q116" s="45"/>
      <c r="R116" s="45"/>
    </row>
    <row r="117" spans="4:18">
      <c r="D117" s="44"/>
      <c r="E117" s="44"/>
      <c r="F117" s="45"/>
      <c r="G117" s="44"/>
      <c r="H117" s="44"/>
      <c r="I117" s="45"/>
      <c r="J117" s="44"/>
      <c r="K117" s="44"/>
      <c r="L117" s="44"/>
      <c r="M117" s="44"/>
      <c r="P117" s="45"/>
      <c r="Q117" s="45"/>
      <c r="R117" s="45"/>
    </row>
    <row r="118" spans="4:18">
      <c r="D118" s="44"/>
      <c r="E118" s="44"/>
      <c r="F118" s="45"/>
      <c r="G118" s="44"/>
      <c r="H118" s="44"/>
      <c r="I118" s="45"/>
      <c r="J118" s="44"/>
      <c r="K118" s="44"/>
      <c r="L118" s="44"/>
      <c r="M118" s="44"/>
      <c r="P118" s="45"/>
      <c r="Q118" s="45"/>
      <c r="R118" s="45"/>
    </row>
    <row r="119" spans="4:18">
      <c r="D119" s="44"/>
      <c r="E119" s="44"/>
      <c r="F119" s="45"/>
      <c r="G119" s="44"/>
      <c r="H119" s="44"/>
      <c r="I119" s="45"/>
      <c r="J119" s="44"/>
      <c r="K119" s="44"/>
      <c r="L119" s="44"/>
      <c r="M119" s="44"/>
      <c r="P119" s="45"/>
      <c r="Q119" s="45"/>
      <c r="R119" s="45"/>
    </row>
    <row r="120" spans="4:18">
      <c r="D120" s="44"/>
      <c r="E120" s="44"/>
      <c r="F120" s="45"/>
      <c r="G120" s="44"/>
      <c r="H120" s="44"/>
      <c r="I120" s="45"/>
      <c r="J120" s="44"/>
      <c r="K120" s="44"/>
      <c r="L120" s="44"/>
      <c r="M120" s="44"/>
      <c r="P120" s="45"/>
      <c r="Q120" s="45"/>
      <c r="R120" s="45"/>
    </row>
    <row r="121" spans="4:18">
      <c r="D121" s="44"/>
      <c r="E121" s="44"/>
      <c r="F121" s="45"/>
      <c r="G121" s="44"/>
      <c r="H121" s="44"/>
      <c r="I121" s="45"/>
      <c r="J121" s="44"/>
      <c r="K121" s="44"/>
      <c r="L121" s="44"/>
      <c r="M121" s="44"/>
      <c r="P121" s="45"/>
      <c r="Q121" s="45"/>
      <c r="R121" s="45"/>
    </row>
    <row r="122" spans="4:18">
      <c r="D122" s="44"/>
      <c r="E122" s="44"/>
      <c r="F122" s="45"/>
      <c r="G122" s="44"/>
      <c r="H122" s="44"/>
      <c r="I122" s="45"/>
      <c r="J122" s="44"/>
      <c r="K122" s="44"/>
      <c r="L122" s="44"/>
      <c r="M122" s="44"/>
      <c r="P122" s="45"/>
      <c r="Q122" s="45"/>
      <c r="R122" s="45"/>
    </row>
    <row r="123" spans="4:18">
      <c r="D123" s="44"/>
      <c r="E123" s="44"/>
      <c r="F123" s="45"/>
      <c r="G123" s="44"/>
      <c r="H123" s="44"/>
      <c r="I123" s="45"/>
      <c r="J123" s="44"/>
      <c r="K123" s="44"/>
      <c r="L123" s="44"/>
      <c r="M123" s="44"/>
      <c r="P123" s="45"/>
      <c r="Q123" s="45"/>
      <c r="R123" s="45"/>
    </row>
    <row r="124" spans="4:18">
      <c r="D124" s="44"/>
      <c r="E124" s="44"/>
      <c r="F124" s="45"/>
      <c r="G124" s="44"/>
      <c r="H124" s="44"/>
      <c r="I124" s="45"/>
      <c r="J124" s="44"/>
      <c r="K124" s="44"/>
      <c r="L124" s="44"/>
      <c r="M124" s="44"/>
      <c r="P124" s="45"/>
      <c r="Q124" s="45"/>
      <c r="R124" s="45"/>
    </row>
    <row r="125" spans="4:18">
      <c r="D125" s="44"/>
      <c r="E125" s="44"/>
      <c r="F125" s="45"/>
      <c r="G125" s="44"/>
      <c r="H125" s="44"/>
      <c r="I125" s="45"/>
      <c r="J125" s="44"/>
      <c r="K125" s="44"/>
      <c r="L125" s="44"/>
      <c r="M125" s="44"/>
      <c r="P125" s="45"/>
      <c r="Q125" s="45"/>
      <c r="R125" s="45"/>
    </row>
    <row r="126" spans="4:18">
      <c r="D126" s="44"/>
      <c r="E126" s="44"/>
      <c r="F126" s="45"/>
      <c r="G126" s="44"/>
      <c r="H126" s="44"/>
      <c r="I126" s="45"/>
      <c r="J126" s="44"/>
      <c r="K126" s="44"/>
      <c r="L126" s="44"/>
      <c r="M126" s="44"/>
      <c r="P126" s="45"/>
      <c r="Q126" s="45"/>
      <c r="R126" s="45"/>
    </row>
    <row r="127" spans="4:18">
      <c r="D127" s="44"/>
      <c r="E127" s="44"/>
      <c r="F127" s="45"/>
      <c r="G127" s="44"/>
      <c r="H127" s="44"/>
      <c r="I127" s="45"/>
      <c r="J127" s="44"/>
      <c r="K127" s="44"/>
      <c r="L127" s="44"/>
      <c r="M127" s="44"/>
      <c r="P127" s="45"/>
      <c r="Q127" s="45"/>
      <c r="R127" s="45"/>
    </row>
    <row r="128" spans="4:18">
      <c r="D128" s="44"/>
      <c r="E128" s="44"/>
      <c r="F128" s="45"/>
      <c r="G128" s="44"/>
      <c r="H128" s="44"/>
      <c r="I128" s="45"/>
      <c r="J128" s="44"/>
      <c r="K128" s="44"/>
      <c r="L128" s="44"/>
      <c r="M128" s="44"/>
      <c r="P128" s="45"/>
      <c r="Q128" s="45"/>
      <c r="R128" s="45"/>
    </row>
    <row r="129" spans="4:18">
      <c r="D129" s="44"/>
      <c r="E129" s="44"/>
      <c r="F129" s="45"/>
      <c r="G129" s="44"/>
      <c r="H129" s="44"/>
      <c r="I129" s="45"/>
      <c r="J129" s="44"/>
      <c r="K129" s="44"/>
      <c r="L129" s="44"/>
      <c r="M129" s="44"/>
      <c r="P129" s="45"/>
      <c r="Q129" s="45"/>
      <c r="R129" s="45"/>
    </row>
    <row r="130" spans="4:18">
      <c r="D130" s="44"/>
      <c r="E130" s="44"/>
      <c r="F130" s="45"/>
      <c r="G130" s="44"/>
      <c r="H130" s="44"/>
      <c r="I130" s="45"/>
      <c r="J130" s="44"/>
      <c r="K130" s="44"/>
      <c r="L130" s="44"/>
      <c r="M130" s="44"/>
      <c r="P130" s="45"/>
      <c r="Q130" s="45"/>
      <c r="R130" s="45"/>
    </row>
    <row r="131" spans="4:18">
      <c r="D131" s="44"/>
      <c r="E131" s="44"/>
      <c r="F131" s="45"/>
      <c r="G131" s="44"/>
      <c r="H131" s="44"/>
      <c r="I131" s="45"/>
      <c r="J131" s="44"/>
      <c r="K131" s="44"/>
      <c r="L131" s="44"/>
      <c r="M131" s="44"/>
      <c r="P131" s="45"/>
      <c r="Q131" s="45"/>
      <c r="R131" s="45"/>
    </row>
    <row r="132" spans="4:18">
      <c r="D132" s="44"/>
      <c r="E132" s="44"/>
      <c r="F132" s="45"/>
      <c r="G132" s="44"/>
      <c r="H132" s="44"/>
      <c r="I132" s="45"/>
      <c r="J132" s="44"/>
      <c r="K132" s="44"/>
      <c r="L132" s="44"/>
      <c r="M132" s="44"/>
      <c r="P132" s="45"/>
      <c r="Q132" s="45"/>
      <c r="R132" s="45"/>
    </row>
    <row r="133" spans="4:18">
      <c r="D133" s="44"/>
      <c r="E133" s="44"/>
      <c r="F133" s="45"/>
      <c r="G133" s="44"/>
      <c r="H133" s="44"/>
      <c r="I133" s="45"/>
      <c r="J133" s="44"/>
      <c r="K133" s="44"/>
      <c r="L133" s="44"/>
      <c r="M133" s="44"/>
      <c r="P133" s="45"/>
      <c r="Q133" s="45"/>
      <c r="R133" s="45"/>
    </row>
    <row r="134" spans="4:18">
      <c r="D134" s="44"/>
      <c r="E134" s="44"/>
      <c r="F134" s="45"/>
      <c r="G134" s="44"/>
      <c r="H134" s="44"/>
      <c r="I134" s="45"/>
      <c r="J134" s="44"/>
      <c r="K134" s="44"/>
      <c r="L134" s="44"/>
      <c r="M134" s="44"/>
      <c r="P134" s="45"/>
      <c r="Q134" s="45"/>
      <c r="R134" s="45"/>
    </row>
    <row r="135" spans="4:18">
      <c r="D135" s="44"/>
      <c r="E135" s="44"/>
      <c r="F135" s="45"/>
      <c r="G135" s="44"/>
      <c r="H135" s="44"/>
      <c r="I135" s="45"/>
      <c r="J135" s="44"/>
      <c r="K135" s="44"/>
      <c r="L135" s="44"/>
      <c r="M135" s="44"/>
      <c r="P135" s="45"/>
      <c r="Q135" s="45"/>
      <c r="R135" s="45"/>
    </row>
    <row r="136" spans="4:18">
      <c r="D136" s="44"/>
      <c r="E136" s="44"/>
      <c r="F136" s="45"/>
      <c r="G136" s="44"/>
      <c r="H136" s="44"/>
      <c r="I136" s="45"/>
      <c r="J136" s="44"/>
      <c r="K136" s="44"/>
      <c r="L136" s="44"/>
      <c r="M136" s="44"/>
      <c r="P136" s="45"/>
      <c r="Q136" s="45"/>
      <c r="R136" s="45"/>
    </row>
    <row r="137" spans="4:18">
      <c r="D137" s="44"/>
      <c r="E137" s="44"/>
      <c r="F137" s="45"/>
      <c r="G137" s="44"/>
      <c r="H137" s="44"/>
      <c r="I137" s="45"/>
      <c r="J137" s="44"/>
      <c r="K137" s="44"/>
      <c r="L137" s="44"/>
      <c r="M137" s="44"/>
      <c r="P137" s="45"/>
      <c r="Q137" s="45"/>
      <c r="R137" s="45"/>
    </row>
    <row r="138" spans="4:18">
      <c r="D138" s="44"/>
      <c r="E138" s="44"/>
      <c r="F138" s="45"/>
      <c r="G138" s="44"/>
      <c r="H138" s="44"/>
      <c r="I138" s="45"/>
      <c r="J138" s="44"/>
      <c r="K138" s="44"/>
      <c r="L138" s="44"/>
      <c r="M138" s="44"/>
      <c r="P138" s="45"/>
      <c r="Q138" s="45"/>
      <c r="R138" s="45"/>
    </row>
    <row r="139" spans="4:18">
      <c r="D139" s="44"/>
      <c r="E139" s="44"/>
      <c r="F139" s="45"/>
      <c r="G139" s="44"/>
      <c r="H139" s="44"/>
      <c r="I139" s="45"/>
      <c r="J139" s="44"/>
      <c r="K139" s="44"/>
      <c r="L139" s="44"/>
      <c r="M139" s="44"/>
      <c r="P139" s="45"/>
      <c r="Q139" s="45"/>
      <c r="R139" s="45"/>
    </row>
    <row r="140" spans="4:18">
      <c r="D140" s="44"/>
      <c r="E140" s="44"/>
      <c r="F140" s="45"/>
      <c r="G140" s="44"/>
      <c r="H140" s="44"/>
      <c r="I140" s="45"/>
      <c r="J140" s="44"/>
      <c r="K140" s="44"/>
      <c r="L140" s="44"/>
      <c r="M140" s="44"/>
      <c r="P140" s="45"/>
      <c r="Q140" s="45"/>
      <c r="R140" s="45"/>
    </row>
    <row r="141" spans="4:18">
      <c r="D141" s="44"/>
      <c r="E141" s="44"/>
      <c r="F141" s="45"/>
      <c r="G141" s="44"/>
      <c r="H141" s="44"/>
      <c r="I141" s="45"/>
      <c r="J141" s="44"/>
      <c r="K141" s="44"/>
      <c r="L141" s="44"/>
      <c r="M141" s="44"/>
      <c r="P141" s="45"/>
      <c r="Q141" s="45"/>
      <c r="R141" s="45"/>
    </row>
    <row r="142" spans="4:18">
      <c r="D142" s="44"/>
      <c r="E142" s="44"/>
      <c r="F142" s="45"/>
      <c r="G142" s="44"/>
      <c r="H142" s="44"/>
      <c r="I142" s="45"/>
      <c r="J142" s="44"/>
      <c r="K142" s="44"/>
      <c r="L142" s="44"/>
      <c r="M142" s="44"/>
      <c r="P142" s="45"/>
      <c r="Q142" s="45"/>
      <c r="R142" s="45"/>
    </row>
    <row r="143" spans="4:18">
      <c r="D143" s="44"/>
      <c r="E143" s="44"/>
      <c r="F143" s="45"/>
      <c r="G143" s="44"/>
      <c r="H143" s="44"/>
      <c r="I143" s="45"/>
      <c r="J143" s="44"/>
      <c r="K143" s="44"/>
      <c r="L143" s="44"/>
      <c r="M143" s="44"/>
      <c r="P143" s="45"/>
      <c r="Q143" s="45"/>
      <c r="R143" s="45"/>
    </row>
    <row r="144" spans="4:18">
      <c r="D144" s="44"/>
      <c r="E144" s="44"/>
      <c r="F144" s="45"/>
      <c r="G144" s="44"/>
      <c r="H144" s="44"/>
      <c r="I144" s="45"/>
      <c r="J144" s="44"/>
      <c r="K144" s="44"/>
      <c r="L144" s="44"/>
      <c r="M144" s="44"/>
      <c r="P144" s="45"/>
      <c r="Q144" s="45"/>
      <c r="R144" s="45"/>
    </row>
    <row r="145" spans="4:18">
      <c r="D145" s="44"/>
      <c r="E145" s="44"/>
      <c r="F145" s="45"/>
      <c r="G145" s="44"/>
      <c r="H145" s="44"/>
      <c r="I145" s="45"/>
      <c r="J145" s="44"/>
      <c r="K145" s="44"/>
      <c r="L145" s="44"/>
      <c r="M145" s="44"/>
      <c r="P145" s="45"/>
      <c r="Q145" s="45"/>
      <c r="R145" s="45"/>
    </row>
    <row r="146" spans="4:18">
      <c r="D146" s="44"/>
      <c r="E146" s="44"/>
      <c r="F146" s="45"/>
      <c r="G146" s="44"/>
      <c r="H146" s="44"/>
      <c r="I146" s="45"/>
      <c r="J146" s="44"/>
      <c r="K146" s="44"/>
      <c r="L146" s="44"/>
      <c r="M146" s="44"/>
      <c r="P146" s="45"/>
      <c r="Q146" s="45"/>
      <c r="R146" s="45"/>
    </row>
    <row r="147" spans="4:18">
      <c r="D147" s="44"/>
      <c r="E147" s="44"/>
      <c r="F147" s="45"/>
      <c r="G147" s="44"/>
      <c r="H147" s="44"/>
      <c r="I147" s="45"/>
      <c r="J147" s="44"/>
      <c r="K147" s="44"/>
      <c r="L147" s="44"/>
      <c r="M147" s="44"/>
      <c r="P147" s="45"/>
      <c r="Q147" s="45"/>
      <c r="R147" s="45"/>
    </row>
    <row r="148" spans="4:18">
      <c r="D148" s="44"/>
      <c r="E148" s="44"/>
      <c r="F148" s="45"/>
      <c r="G148" s="44"/>
      <c r="H148" s="44"/>
      <c r="I148" s="45"/>
      <c r="J148" s="44"/>
      <c r="K148" s="44"/>
      <c r="L148" s="44"/>
      <c r="M148" s="44"/>
      <c r="P148" s="45"/>
      <c r="Q148" s="45"/>
      <c r="R148" s="45"/>
    </row>
    <row r="149" spans="4:18">
      <c r="D149" s="44"/>
      <c r="E149" s="44"/>
      <c r="F149" s="45"/>
      <c r="G149" s="44"/>
      <c r="H149" s="44"/>
      <c r="I149" s="45"/>
      <c r="J149" s="44"/>
      <c r="K149" s="44"/>
      <c r="L149" s="44"/>
      <c r="M149" s="44"/>
      <c r="P149" s="45"/>
      <c r="Q149" s="45"/>
      <c r="R149" s="45"/>
    </row>
    <row r="150" spans="4:18">
      <c r="D150" s="44"/>
      <c r="E150" s="44"/>
      <c r="F150" s="45"/>
      <c r="G150" s="44"/>
      <c r="H150" s="44"/>
      <c r="I150" s="45"/>
      <c r="J150" s="44"/>
      <c r="K150" s="44"/>
      <c r="L150" s="44"/>
      <c r="M150" s="44"/>
      <c r="P150" s="45"/>
      <c r="Q150" s="45"/>
      <c r="R150" s="45"/>
    </row>
    <row r="151" spans="4:18">
      <c r="D151" s="44"/>
      <c r="E151" s="44"/>
      <c r="F151" s="45"/>
      <c r="G151" s="44"/>
      <c r="H151" s="44"/>
      <c r="I151" s="45"/>
      <c r="J151" s="44"/>
      <c r="K151" s="44"/>
      <c r="L151" s="44"/>
      <c r="M151" s="44"/>
      <c r="P151" s="45"/>
      <c r="Q151" s="45"/>
      <c r="R151" s="45"/>
    </row>
    <row r="152" spans="4:18">
      <c r="D152" s="44"/>
      <c r="E152" s="44"/>
      <c r="F152" s="45"/>
      <c r="G152" s="44"/>
      <c r="H152" s="44"/>
      <c r="I152" s="45"/>
      <c r="J152" s="44"/>
      <c r="K152" s="44"/>
      <c r="L152" s="44"/>
      <c r="M152" s="44"/>
      <c r="P152" s="45"/>
      <c r="Q152" s="45"/>
      <c r="R152" s="45"/>
    </row>
    <row r="153" spans="4:18">
      <c r="D153" s="44"/>
      <c r="E153" s="44"/>
      <c r="F153" s="45"/>
      <c r="G153" s="44"/>
      <c r="H153" s="44"/>
      <c r="I153" s="45"/>
      <c r="J153" s="44"/>
      <c r="K153" s="44"/>
      <c r="L153" s="44"/>
      <c r="M153" s="44"/>
      <c r="P153" s="45"/>
      <c r="Q153" s="45"/>
      <c r="R153" s="45"/>
    </row>
    <row r="154" spans="4:18">
      <c r="D154" s="44"/>
      <c r="E154" s="44"/>
      <c r="F154" s="45"/>
      <c r="G154" s="44"/>
      <c r="H154" s="44"/>
      <c r="I154" s="45"/>
      <c r="J154" s="44"/>
      <c r="K154" s="44"/>
      <c r="L154" s="44"/>
      <c r="M154" s="44"/>
      <c r="P154" s="45"/>
      <c r="Q154" s="45"/>
      <c r="R154" s="45"/>
    </row>
    <row r="155" spans="4:18">
      <c r="D155" s="44"/>
      <c r="E155" s="44"/>
      <c r="F155" s="45"/>
      <c r="G155" s="44"/>
      <c r="H155" s="44"/>
      <c r="I155" s="45"/>
      <c r="J155" s="44"/>
      <c r="K155" s="44"/>
      <c r="L155" s="44"/>
      <c r="M155" s="44"/>
      <c r="P155" s="45"/>
      <c r="Q155" s="45"/>
      <c r="R155" s="45"/>
    </row>
    <row r="156" spans="4:18">
      <c r="D156" s="44"/>
      <c r="E156" s="44"/>
      <c r="F156" s="45"/>
      <c r="G156" s="44"/>
      <c r="H156" s="44"/>
      <c r="I156" s="45"/>
      <c r="J156" s="44"/>
      <c r="K156" s="44"/>
      <c r="L156" s="44"/>
      <c r="M156" s="44"/>
      <c r="P156" s="45"/>
      <c r="Q156" s="45"/>
      <c r="R156" s="45"/>
    </row>
    <row r="157" spans="4:18">
      <c r="D157" s="44"/>
      <c r="E157" s="44"/>
      <c r="F157" s="45"/>
      <c r="G157" s="44"/>
      <c r="H157" s="44"/>
      <c r="I157" s="45"/>
      <c r="J157" s="44"/>
      <c r="K157" s="44"/>
      <c r="L157" s="44"/>
      <c r="M157" s="44"/>
      <c r="P157" s="45"/>
      <c r="Q157" s="45"/>
      <c r="R157" s="45"/>
    </row>
    <row r="158" spans="4:18">
      <c r="D158" s="44"/>
      <c r="E158" s="44"/>
      <c r="F158" s="45"/>
      <c r="G158" s="44"/>
      <c r="H158" s="44"/>
      <c r="I158" s="45"/>
      <c r="J158" s="44"/>
      <c r="K158" s="44"/>
      <c r="L158" s="44"/>
      <c r="M158" s="44"/>
      <c r="P158" s="45"/>
      <c r="Q158" s="45"/>
      <c r="R158" s="45"/>
    </row>
    <row r="159" spans="4:18">
      <c r="D159" s="44"/>
      <c r="E159" s="44"/>
      <c r="F159" s="45"/>
      <c r="G159" s="44"/>
      <c r="H159" s="44"/>
      <c r="I159" s="45"/>
      <c r="J159" s="44"/>
      <c r="K159" s="44"/>
      <c r="L159" s="44"/>
      <c r="M159" s="44"/>
      <c r="P159" s="45"/>
      <c r="Q159" s="45"/>
      <c r="R159" s="45"/>
    </row>
  </sheetData>
  <mergeCells count="1">
    <mergeCell ref="C2:N2"/>
  </mergeCell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8" tint="-0.249977111117893"/>
  </sheetPr>
  <dimension ref="A1:N166"/>
  <sheetViews>
    <sheetView zoomScale="55" zoomScaleNormal="55" workbookViewId="0"/>
  </sheetViews>
  <sheetFormatPr baseColWidth="10" defaultColWidth="10.5703125" defaultRowHeight="15"/>
  <cols>
    <col min="1" max="1" width="16.5703125" style="20" customWidth="1"/>
    <col min="2" max="2" width="13.140625" style="1" customWidth="1"/>
    <col min="3" max="3" width="45.85546875" style="47" customWidth="1"/>
    <col min="4" max="4" width="47" style="47" customWidth="1"/>
    <col min="5" max="5" width="18.5703125" style="47" customWidth="1"/>
    <col min="6" max="6" width="17.5703125" style="47" customWidth="1"/>
    <col min="7" max="7" width="22.5703125" style="47" customWidth="1"/>
    <col min="8" max="8" width="24.85546875" style="47" customWidth="1"/>
    <col min="9" max="9" width="26.85546875" style="47" customWidth="1"/>
    <col min="10" max="10" width="25.85546875" style="47" customWidth="1"/>
    <col min="11" max="11" width="26.42578125" style="47" customWidth="1"/>
    <col min="12" max="12" width="22.140625" style="47" customWidth="1"/>
    <col min="13" max="13" width="29.42578125" style="47" customWidth="1"/>
    <col min="14" max="14" width="44.42578125" style="47" customWidth="1"/>
    <col min="15" max="15" width="49.42578125" style="1" customWidth="1"/>
    <col min="16" max="16384" width="10.5703125" style="1"/>
  </cols>
  <sheetData>
    <row r="1" spans="1:14" ht="57.75" customHeight="1">
      <c r="B1" s="20"/>
      <c r="C1" s="197"/>
      <c r="D1" s="197"/>
      <c r="E1" s="197"/>
      <c r="F1" s="197"/>
      <c r="G1" s="197"/>
      <c r="H1" s="197"/>
      <c r="I1" s="197"/>
      <c r="J1" s="197"/>
      <c r="K1" s="197"/>
    </row>
    <row r="2" spans="1:14" ht="11.1" customHeight="1"/>
    <row r="3" spans="1:14" ht="20.100000000000001" customHeight="1">
      <c r="C3" s="710" t="s">
        <v>942</v>
      </c>
      <c r="D3" s="710"/>
      <c r="E3" s="710"/>
      <c r="F3" s="710"/>
      <c r="G3" s="710"/>
      <c r="H3" s="710"/>
      <c r="I3" s="710"/>
      <c r="J3" s="710"/>
      <c r="K3" s="710"/>
      <c r="L3" s="710"/>
      <c r="M3" s="710"/>
      <c r="N3" s="710"/>
    </row>
    <row r="5" spans="1:14">
      <c r="A5" s="21"/>
      <c r="B5" s="1" t="s">
        <v>1078</v>
      </c>
      <c r="C5" s="209" t="s">
        <v>17</v>
      </c>
      <c r="D5" s="209" t="s">
        <v>18</v>
      </c>
      <c r="E5" s="209" t="s">
        <v>19</v>
      </c>
      <c r="F5" s="209" t="s">
        <v>20</v>
      </c>
      <c r="G5" s="209" t="s">
        <v>21</v>
      </c>
      <c r="H5" s="209" t="s">
        <v>22</v>
      </c>
      <c r="I5" s="209" t="s">
        <v>23</v>
      </c>
      <c r="J5" s="209" t="s">
        <v>24</v>
      </c>
      <c r="K5" s="209" t="s">
        <v>25</v>
      </c>
      <c r="L5" s="209" t="s">
        <v>26</v>
      </c>
      <c r="M5" s="209" t="s">
        <v>27</v>
      </c>
      <c r="N5" s="209" t="s">
        <v>28</v>
      </c>
    </row>
    <row r="6" spans="1:14" ht="86.45" customHeight="1">
      <c r="B6" s="196">
        <v>116</v>
      </c>
      <c r="C6" s="156" t="str">
        <f>VLOOKUP(Tableau2[[#This Row],[Colonne1]],Tableau124[#All],2,FALSE)</f>
        <v>Jura (39)</v>
      </c>
      <c r="D6" s="156" t="str">
        <f>VLOOKUP(Tableau2[[#This Row],[Colonne1]],Tableau124[#All],3,FALSE)</f>
        <v>Arbois</v>
      </c>
      <c r="E6" s="156">
        <f>VLOOKUP(Tableau2[[#This Row],[Colonne1]],Tableau124[#All],4,FALSE)</f>
        <v>39600</v>
      </c>
      <c r="F6" s="156" t="str">
        <f>VLOOKUP(Tableau2[[#This Row],[Colonne1]],Tableau124[#All],5,FALSE)</f>
        <v>23 rue de l'hôpital</v>
      </c>
      <c r="G6" s="156" t="str">
        <f>VLOOKUP(Tableau2[[#This Row],[Colonne1]],Tableau124[#All],6,FALSE)</f>
        <v>Antenne CSAPA</v>
      </c>
      <c r="H6" s="156" t="str">
        <f>VLOOKUP(Tableau2[[#This Row],[Colonne1]],Tableau124[#All],7,FALSE)</f>
        <v>CSAPA de l'ADLCA</v>
      </c>
      <c r="I6" s="156" t="str">
        <f>VLOOKUP(Tableau2[[#This Row],[Colonne1]],Tableau124[#All],8,FALSE)</f>
        <v>Associatif</v>
      </c>
      <c r="J6" s="318" t="str">
        <f>VLOOKUP(Tableau2[[#This Row],[Colonne1]],Tableau124[#All],9,FALSE)</f>
        <v>arbois@csapa-adlca.fr</v>
      </c>
      <c r="K6" s="238" t="str">
        <f>VLOOKUP(Tableau2[[#This Row],[Colonne1]],Tableau124[#All],10,FALSE)</f>
        <v>0384252612</v>
      </c>
      <c r="L6" s="324" t="str">
        <f>VLOOKUP(Tableau2[[#This Row],[Colonne1]],Tableau124[#All],11,FALSE)</f>
        <v xml:space="preserve"> </v>
      </c>
      <c r="M6" s="101" t="str">
        <f>VLOOKUP(Tableau2[[#This Row],[Colonne1]],Tableau124[#All],12,FALSE)</f>
        <v>lundi au vendredi, 9h-17h30</v>
      </c>
      <c r="N6" s="198" t="str">
        <f>VLOOKUP(Tableau2[[#This Row],[Colonne1]],Tableau124[#All],13,FALSE)</f>
        <v xml:space="preserve">  </v>
      </c>
    </row>
    <row r="7" spans="1:14" ht="86.45" customHeight="1">
      <c r="B7" s="196">
        <v>160</v>
      </c>
      <c r="C7" s="156" t="str">
        <f>VLOOKUP(Tableau2[[#This Row],[Colonne1]],Tableau124[#All],2,FALSE)</f>
        <v>Saône-et-Loire (71)</v>
      </c>
      <c r="D7" s="156" t="str">
        <f>VLOOKUP(Tableau2[[#This Row],[Colonne1]],Tableau124[#All],3,FALSE)</f>
        <v>Autun</v>
      </c>
      <c r="E7" s="156">
        <f>VLOOKUP(Tableau2[[#This Row],[Colonne1]],Tableau124[#All],4,FALSE)</f>
        <v>71400</v>
      </c>
      <c r="F7" s="156" t="str">
        <f>VLOOKUP(Tableau2[[#This Row],[Colonne1]],Tableau124[#All],5,FALSE)</f>
        <v>15 rue deguin</v>
      </c>
      <c r="G7" s="156" t="str">
        <f>VLOOKUP(Tableau2[[#This Row],[Colonne1]],Tableau124[#All],6,FALSE)</f>
        <v>Antenne CSAPA</v>
      </c>
      <c r="H7" s="156" t="str">
        <f>VLOOKUP(Tableau2[[#This Row],[Colonne1]],Tableau124[#All],7,FALSE)</f>
        <v>Addictions France 71</v>
      </c>
      <c r="I7" s="156" t="str">
        <f>VLOOKUP(Tableau2[[#This Row],[Colonne1]],Tableau124[#All],8,FALSE)</f>
        <v>Associatif</v>
      </c>
      <c r="J7" s="318" t="str">
        <f>VLOOKUP(Tableau2[[#This Row],[Colonne1]],Tableau124[#All],9,FALSE)</f>
        <v>csapa.autun@addictions-france.org</v>
      </c>
      <c r="K7" s="238" t="str">
        <f>VLOOKUP(Tableau2[[#This Row],[Colonne1]],Tableau124[#All],10,FALSE)</f>
        <v>0385521490</v>
      </c>
      <c r="L7" s="324"/>
      <c r="M7" s="101" t="str">
        <f>VLOOKUP(Tableau2[[#This Row],[Colonne1]],Tableau124[#All],12,FALSE)</f>
        <v>Mardi 9h30 à 12h30 13h à 18h
Vendredi 9h30 à 12h30 et 13h à 16h</v>
      </c>
      <c r="N7" s="198"/>
    </row>
    <row r="8" spans="1:14" ht="86.45" customHeight="1">
      <c r="B8" s="196">
        <v>161</v>
      </c>
      <c r="C8" s="111" t="str">
        <f>VLOOKUP(Tableau2[[#This Row],[Colonne1]],Tableau124[#All],2,FALSE)</f>
        <v>Saône-et-Loire (71)</v>
      </c>
      <c r="D8" s="111" t="str">
        <f>VLOOKUP(Tableau2[[#This Row],[Colonne1]],Tableau124[#All],3,FALSE)</f>
        <v>Autun</v>
      </c>
      <c r="E8" s="111" t="str">
        <f>VLOOKUP(Tableau2[[#This Row],[Colonne1]],Tableau124[#All],4,FALSE)</f>
        <v>71400</v>
      </c>
      <c r="F8" s="111" t="str">
        <f>VLOOKUP(Tableau2[[#This Row],[Colonne1]],Tableau124[#All],5,FALSE)</f>
        <v xml:space="preserve">7bis rue de parpas </v>
      </c>
      <c r="G8" s="111" t="str">
        <f>VLOOKUP(Tableau2[[#This Row],[Colonne1]],Tableau124[#All],6,FALSE)</f>
        <v>Consultations Hospitalières externes d'addictologie</v>
      </c>
      <c r="H8" s="111" t="str">
        <f>VLOOKUP(Tableau2[[#This Row],[Colonne1]],Tableau124[#All],7,FALSE)</f>
        <v>CH Autun</v>
      </c>
      <c r="I8" s="111" t="str">
        <f>VLOOKUP(Tableau2[[#This Row],[Colonne1]],Tableau124[#All],8,FALSE)</f>
        <v>Public</v>
      </c>
      <c r="J8" s="311" t="str">
        <f>VLOOKUP(Tableau2[[#This Row],[Colonne1]],Tableau124[#All],9,FALSE)</f>
        <v>http://ch-autun.fr/contact/@ch-autun.fr</v>
      </c>
      <c r="K8" s="239" t="str">
        <f>VLOOKUP(Tableau2[[#This Row],[Colonne1]],Tableau124[#All],10,FALSE)</f>
        <v>03 85 86 84 84</v>
      </c>
      <c r="L8" s="324" t="str">
        <f>VLOOKUP(Tableau2[[#This Row],[Colonne1]],Tableau124[#All],11,FALSE)</f>
        <v xml:space="preserve"> </v>
      </c>
      <c r="M8" s="129" t="str">
        <f>VLOOKUP(Tableau2[[#This Row],[Colonne1]],Tableau124[#All],12,FALSE)</f>
        <v>lundi matin, mercredi matin un jeudi sur deux</v>
      </c>
      <c r="N8" s="486" t="str">
        <f>VLOOKUP(Tableau2[[#This Row],[Colonne1]],Tableau124[#All],13,FALSE)</f>
        <v>Intervention auprès de public majeurs et mineurs</v>
      </c>
    </row>
    <row r="9" spans="1:14" ht="86.45" customHeight="1">
      <c r="B9" s="196">
        <v>208</v>
      </c>
      <c r="C9" s="203" t="str">
        <f>VLOOKUP(Tableau2[[#This Row],[Colonne1]],Tableau124[#All],2,FALSE)</f>
        <v>Yonne (89)</v>
      </c>
      <c r="D9" s="203" t="str">
        <f>VLOOKUP(Tableau2[[#This Row],[Colonne1]],Tableau124[#All],3,FALSE)</f>
        <v>Auxerre</v>
      </c>
      <c r="E9" s="203" t="str">
        <f>VLOOKUP(Tableau2[[#This Row],[Colonne1]],Tableau124[#All],4,FALSE)</f>
        <v>89000</v>
      </c>
      <c r="F9" s="203" t="str">
        <f>VLOOKUP(Tableau2[[#This Row],[Colonne1]],Tableau124[#All],5,FALSE)</f>
        <v>8 Rue Colonel Rozanoff</v>
      </c>
      <c r="G9" s="203" t="str">
        <f>VLOOKUP(Tableau2[[#This Row],[Colonne1]],Tableau124[#All],6,FALSE)</f>
        <v>CAARUD</v>
      </c>
      <c r="H9" s="203" t="str">
        <f>VLOOKUP(Tableau2[[#This Row],[Colonne1]],Tableau124[#All],7,FALSE)</f>
        <v>CAARUD Addictions France</v>
      </c>
      <c r="I9" s="203" t="str">
        <f>VLOOKUP(Tableau2[[#This Row],[Colonne1]],Tableau124[#All],8,FALSE)</f>
        <v>Associatif</v>
      </c>
      <c r="J9" s="497" t="str">
        <f>VLOOKUP(Tableau2[[#This Row],[Colonne1]],Tableau124[#All],9,FALSE)</f>
        <v>caarud.auxerre@addictions-france.org</v>
      </c>
      <c r="K9" s="240" t="str">
        <f>VLOOKUP(Tableau2[[#This Row],[Colonne1]],Tableau124[#All],10,FALSE)</f>
        <v>03.86.33.76.41</v>
      </c>
      <c r="L9" s="359" t="str">
        <f>VLOOKUP(Tableau2[[#This Row],[Colonne1]],Tableau124[#All],11,FALSE)</f>
        <v>www.addictions-france.org</v>
      </c>
      <c r="M9" s="204" t="str">
        <f>VLOOKUP(Tableau2[[#This Row],[Colonne1]],Tableau124[#All],12,FALSE)</f>
        <v>Lundi 8h30 - 13h / 13h30 - 18h
Mardi 9h - 13h / 13h30 - 18h
Jeudi 8h30 -13h / 13h30 - 18h
Vendredi 9h - 13h / 13h30 - 18h</v>
      </c>
      <c r="N9" s="488" t="str">
        <f>VLOOKUP(Tableau2[[#This Row],[Colonne1]],Tableau124[#All],13,FALSE)</f>
        <v xml:space="preserve">- unité mobile pouvant servir de lieu d'accueil (déplacement sur tout le département) ; 
- intervention en maraude ; 
- programme d'échange de seringues ;
- intervention en milieu festif. </v>
      </c>
    </row>
    <row r="10" spans="1:14" ht="86.45" customHeight="1">
      <c r="B10" s="196">
        <v>210</v>
      </c>
      <c r="C10" s="111" t="str">
        <f>VLOOKUP(Tableau2[[#This Row],[Colonne1]],Tableau124[#All],2,FALSE)</f>
        <v>Yonne (89)</v>
      </c>
      <c r="D10" s="111" t="str">
        <f>VLOOKUP(Tableau2[[#This Row],[Colonne1]],Tableau124[#All],3,FALSE)</f>
        <v>Auxerre</v>
      </c>
      <c r="E10" s="111" t="str">
        <f>VLOOKUP(Tableau2[[#This Row],[Colonne1]],Tableau124[#All],4,FALSE)</f>
        <v>89000</v>
      </c>
      <c r="F10" s="111" t="str">
        <f>VLOOKUP(Tableau2[[#This Row],[Colonne1]],Tableau124[#All],5,FALSE)</f>
        <v>2, boulevard de Verdun</v>
      </c>
      <c r="G10" s="111" t="str">
        <f>VLOOKUP(Tableau2[[#This Row],[Colonne1]],Tableau124[#All],6,FALSE)</f>
        <v>Consultations Hospitalières externes d'addictologie</v>
      </c>
      <c r="H10" s="111" t="str">
        <f>VLOOKUP(Tableau2[[#This Row],[Colonne1]],Tableau124[#All],7,FALSE)</f>
        <v>CENTRE HOSPITALIER d'AUXERRE</v>
      </c>
      <c r="I10" s="111" t="str">
        <f>VLOOKUP(Tableau2[[#This Row],[Colonne1]],Tableau124[#All],8,FALSE)</f>
        <v>Public</v>
      </c>
      <c r="J10" s="311" t="str">
        <f>VLOOKUP(Tableau2[[#This Row],[Colonne1]],Tableau124[#All],9,FALSE)</f>
        <v>scdag@ch-auxerre.fr</v>
      </c>
      <c r="K10" s="239" t="str">
        <f>VLOOKUP(Tableau2[[#This Row],[Colonne1]],Tableau124[#All],10,FALSE)</f>
        <v>03-86-48-48-62</v>
      </c>
      <c r="L10" s="311" t="str">
        <f>VLOOKUP(Tableau2[[#This Row],[Colonne1]],Tableau124[#All],11,FALSE)</f>
        <v>https://www.ght-unyon.fr/</v>
      </c>
      <c r="M10" s="129" t="str">
        <f>VLOOKUP(Tableau2[[#This Row],[Colonne1]],Tableau124[#All],12,FALSE)</f>
        <v>Sur rendez vous du lundi au vendredi</v>
      </c>
      <c r="N10" s="486" t="str">
        <f>VLOOKUP(Tableau2[[#This Row],[Colonne1]],Tableau124[#All],13,FALSE)</f>
        <v>Intervention auprès de public majeurs et mineurs</v>
      </c>
    </row>
    <row r="11" spans="1:14" ht="86.45" customHeight="1">
      <c r="B11" s="196">
        <v>211</v>
      </c>
      <c r="C11" s="111" t="str">
        <f>VLOOKUP(Tableau2[[#This Row],[Colonne1]],Tableau124[#All],2,FALSE)</f>
        <v>Yonne (89)</v>
      </c>
      <c r="D11" s="111" t="str">
        <f>VLOOKUP(Tableau2[[#This Row],[Colonne1]],Tableau124[#All],3,FALSE)</f>
        <v>Auxerre</v>
      </c>
      <c r="E11" s="111" t="str">
        <f>VLOOKUP(Tableau2[[#This Row],[Colonne1]],Tableau124[#All],4,FALSE)</f>
        <v>89000</v>
      </c>
      <c r="F11" s="111" t="str">
        <f>VLOOKUP(Tableau2[[#This Row],[Colonne1]],Tableau124[#All],5,FALSE)</f>
        <v>4 Av. Pierre Scherrer</v>
      </c>
      <c r="G11" s="111" t="str">
        <f>VLOOKUP(Tableau2[[#This Row],[Colonne1]],Tableau124[#All],6,FALSE)</f>
        <v>Consultations Hospitalières externes d'addictologie</v>
      </c>
      <c r="H11" s="111" t="str">
        <f>VLOOKUP(Tableau2[[#This Row],[Colonne1]],Tableau124[#All],7,FALSE)</f>
        <v>CHS Yonne</v>
      </c>
      <c r="I11" s="111" t="str">
        <f>VLOOKUP(Tableau2[[#This Row],[Colonne1]],Tableau124[#All],8,FALSE)</f>
        <v>Public</v>
      </c>
      <c r="J11" s="311" t="str">
        <f>VLOOKUP(Tableau2[[#This Row],[Colonne1]],Tableau124[#All],9,FALSE)</f>
        <v>secteur3@chs-yonne.fr</v>
      </c>
      <c r="K11" s="239" t="str">
        <f>VLOOKUP(Tableau2[[#This Row],[Colonne1]],Tableau124[#All],10,FALSE)</f>
        <v>03 86 94 38 71</v>
      </c>
      <c r="L11" s="311" t="str">
        <f>VLOOKUP(Tableau2[[#This Row],[Colonne1]],Tableau124[#All],11,FALSE)</f>
        <v>http://www.chs-yonne.fr/</v>
      </c>
      <c r="M11" s="129" t="str">
        <f>VLOOKUP(Tableau2[[#This Row],[Colonne1]],Tableau124[#All],12,FALSE)</f>
        <v>du lundi au vendredi de 09:00 à 16:30</v>
      </c>
      <c r="N11" s="486" t="str">
        <f>VLOOKUP(Tableau2[[#This Row],[Colonne1]],Tableau124[#All],13,FALSE)</f>
        <v xml:space="preserve">Intervention auprès de public majeurs </v>
      </c>
    </row>
    <row r="12" spans="1:14" ht="86.45" customHeight="1">
      <c r="B12" s="196">
        <v>213</v>
      </c>
      <c r="C12" s="156" t="str">
        <f>VLOOKUP(Tableau2[[#This Row],[Colonne1]],Tableau124[#All],2,FALSE)</f>
        <v>Yonne (89)</v>
      </c>
      <c r="D12" s="156" t="str">
        <f>VLOOKUP(Tableau2[[#This Row],[Colonne1]],Tableau124[#All],3,FALSE)</f>
        <v>Auxerre</v>
      </c>
      <c r="E12" s="156" t="str">
        <f>VLOOKUP(Tableau2[[#This Row],[Colonne1]],Tableau124[#All],4,FALSE)</f>
        <v>89000</v>
      </c>
      <c r="F12" s="156" t="str">
        <f>VLOOKUP(Tableau2[[#This Row],[Colonne1]],Tableau124[#All],5,FALSE)</f>
        <v>8 Rue Colonel Rozanoff</v>
      </c>
      <c r="G12" s="156" t="str">
        <f>VLOOKUP(Tableau2[[#This Row],[Colonne1]],Tableau124[#All],6,FALSE)</f>
        <v>CSAPA</v>
      </c>
      <c r="H12" s="156" t="str">
        <f>VLOOKUP(Tableau2[[#This Row],[Colonne1]],Tableau124[#All],7,FALSE)</f>
        <v>CSAPA - Association Addictions France</v>
      </c>
      <c r="I12" s="156" t="str">
        <f>VLOOKUP(Tableau2[[#This Row],[Colonne1]],Tableau124[#All],8,FALSE)</f>
        <v>Associatif</v>
      </c>
      <c r="J12" s="318" t="str">
        <f>VLOOKUP(Tableau2[[#This Row],[Colonne1]],Tableau124[#All],9,FALSE)</f>
        <v>bfc89@addictions-france.org</v>
      </c>
      <c r="K12" s="238" t="str">
        <f>VLOOKUP(Tableau2[[#This Row],[Colonne1]],Tableau124[#All],10,FALSE)</f>
        <v>03.86.51.46.99</v>
      </c>
      <c r="L12" s="318" t="str">
        <f>VLOOKUP(Tableau2[[#This Row],[Colonne1]],Tableau124[#All],11,FALSE)</f>
        <v>www.addictions-france.org</v>
      </c>
      <c r="M12" s="101" t="str">
        <f>VLOOKUP(Tableau2[[#This Row],[Colonne1]],Tableau124[#All],12,FALSE)</f>
        <v>Lundi 9h-13h / 13h30-18h
Mardi 8h30-13h / 13h30-19h
Mercredi 8h30-13h / 13h30-18h
Jeudi 9h-13h / 13h30-19h
Vendredi 8h30-13h / 13h30-16h30</v>
      </c>
      <c r="N12" s="658" t="str">
        <f>VLOOKUP(Tableau2[[#This Row],[Colonne1]],Tableau124[#All],13,FALSE)</f>
        <v>Permanences présentes à Migennes, Saint Florentin, Tonnerre, Toucy, Saint Sauveur, Charny, Bléneau)
- intervention en milieu pénitentiaire à la maison d'arrêt d'Auxerre et au Centre de détention de Joux-la-Ville ;
- mise à disposition de matériel de consommation à moindre risque ;
- proposition de test rapide d'orientation diagnostic (TROD) ; 
- dispositifs anti-overdose à disposition ; 
- présence d'une CJC.
CJC Avancées qui dépendent du CSAPA d'Auxerre : Lycée Louis Davier (Joigny), EREA Jules Verne (Joigny) Collège marie Noel (Joigny), Collège Jacques Prévert (Migennes), Collège Philippe Cousteau (Brienon), Cité scolaire Pierre Larousse (Toucy), Collège Jean-Roch (Courson les carrières), Collège de Puisaye (St Fargeau), Collège Colette (St Sauveur en Puisaye), MFR Toucy, Collège Michel Gondry (Charny)</v>
      </c>
    </row>
    <row r="13" spans="1:14" ht="86.45" customHeight="1">
      <c r="B13" s="196">
        <v>214</v>
      </c>
      <c r="C13" s="156" t="str">
        <f>VLOOKUP(Tableau2[[#This Row],[Colonne1]],Tableau124[#All],2,FALSE)</f>
        <v>Yonne (89)</v>
      </c>
      <c r="D13" s="156" t="str">
        <f>VLOOKUP(Tableau2[[#This Row],[Colonne1]],Tableau124[#All],3,FALSE)</f>
        <v>Auxerre</v>
      </c>
      <c r="E13" s="156">
        <f>VLOOKUP(Tableau2[[#This Row],[Colonne1]],Tableau124[#All],4,FALSE)</f>
        <v>89000</v>
      </c>
      <c r="F13" s="156" t="str">
        <f>VLOOKUP(Tableau2[[#This Row],[Colonne1]],Tableau124[#All],5,FALSE)</f>
        <v>CHRS 4 rue Thomas Ancel</v>
      </c>
      <c r="G13" s="156" t="str">
        <f>VLOOKUP(Tableau2[[#This Row],[Colonne1]],Tableau124[#All],6,FALSE)</f>
        <v>CSAPA (consultations avancées)</v>
      </c>
      <c r="H13" s="156" t="str">
        <f>VLOOKUP(Tableau2[[#This Row],[Colonne1]],Tableau124[#All],7,FALSE)</f>
        <v>CSAPA - Association Addictions France - consultations avancées</v>
      </c>
      <c r="I13" s="156" t="str">
        <f>VLOOKUP(Tableau2[[#This Row],[Colonne1]],Tableau124[#All],8,FALSE)</f>
        <v>Associatif</v>
      </c>
      <c r="J13" s="498" t="str">
        <f>VLOOKUP(Tableau2[[#This Row],[Colonne1]],Tableau124[#All],9,FALSE)</f>
        <v>bfc89@addictions-france.org</v>
      </c>
      <c r="K13" s="484" t="str">
        <f>VLOOKUP(Tableau2[[#This Row],[Colonne1]],Tableau124[#All],10,FALSE)</f>
        <v>03.86.51.46.100</v>
      </c>
      <c r="L13" s="498" t="str">
        <f>VLOOKUP(Tableau2[[#This Row],[Colonne1]],Tableau124[#All],11,FALSE)</f>
        <v>www.addictions-france.org</v>
      </c>
      <c r="M13" s="479" t="str">
        <f>VLOOKUP(Tableau2[[#This Row],[Colonne1]],Tableau124[#All],12,FALSE)</f>
        <v>1 mardi matin sur 2 de 9h à 13h</v>
      </c>
      <c r="N13" s="480" t="str">
        <f>VLOOKUP(Tableau2[[#This Row],[Colonne1]],Tableau124[#All],13,FALSE)</f>
        <v>Réalisation de consultations avancées</v>
      </c>
    </row>
    <row r="14" spans="1:14" ht="86.45" customHeight="1">
      <c r="B14" s="196">
        <v>209</v>
      </c>
      <c r="C14" s="508" t="str">
        <f>VLOOKUP(Tableau2[[#This Row],[Colonne1]],Tableau124[#All],2,FALSE)</f>
        <v>Yonne (89)</v>
      </c>
      <c r="D14" s="508" t="str">
        <f>VLOOKUP(Tableau2[[#This Row],[Colonne1]],Tableau124[#All],3,FALSE)</f>
        <v>Auxerre</v>
      </c>
      <c r="E14" s="508" t="str">
        <f>VLOOKUP(Tableau2[[#This Row],[Colonne1]],Tableau124[#All],4,FALSE)</f>
        <v>89000</v>
      </c>
      <c r="F14" s="508" t="str">
        <f>VLOOKUP(Tableau2[[#This Row],[Colonne1]],Tableau124[#All],5,FALSE)</f>
        <v>8 Rue Colonel Rozanoff</v>
      </c>
      <c r="G14" s="508" t="str">
        <f>VLOOKUP(Tableau2[[#This Row],[Colonne1]],Tableau124[#All],6,FALSE)</f>
        <v>CJC</v>
      </c>
      <c r="H14" s="508" t="str">
        <f>VLOOKUP(Tableau2[[#This Row],[Colonne1]],Tableau124[#All],7,FALSE)</f>
        <v>CSAPA - Association Addictions France</v>
      </c>
      <c r="I14" s="508" t="str">
        <f>VLOOKUP(Tableau2[[#This Row],[Colonne1]],Tableau124[#All],8,FALSE)</f>
        <v>Associatif</v>
      </c>
      <c r="J14" s="517" t="str">
        <f>VLOOKUP(Tableau2[[#This Row],[Colonne1]],Tableau124[#All],9,FALSE)</f>
        <v>bfc89@addictions-france.org</v>
      </c>
      <c r="K14" s="518" t="str">
        <f>VLOOKUP(Tableau2[[#This Row],[Colonne1]],Tableau124[#All],10,FALSE)</f>
        <v>03.86.51.46.99</v>
      </c>
      <c r="L14" s="517" t="str">
        <f>VLOOKUP(Tableau2[[#This Row],[Colonne1]],Tableau124[#All],11,FALSE)</f>
        <v>www.addictions-france.org</v>
      </c>
      <c r="M14" s="519" t="str">
        <f>VLOOKUP(Tableau2[[#This Row],[Colonne1]],Tableau124[#All],12,FALSE)</f>
        <v>Auxerre
Mercredi de 11h30 à 17h30
Lundi de 17h à 18h
Sens
Mercredi de 9h30 à 17h
Vendredi de 13h30 à 17h</v>
      </c>
      <c r="N14" s="524" t="str">
        <f>VLOOKUP(Tableau2[[#This Row],[Colonne1]],Tableau124[#All],13,FALSE)</f>
        <v xml:space="preserve">- Accueil des familles ; 
- Orientation sur rendez-vous ;
- CJC accessible à la famille et l'entourage ; 
- locaux identiques à ceux du CSAPA. </v>
      </c>
    </row>
    <row r="15" spans="1:14" ht="86.45" customHeight="1">
      <c r="B15" s="196">
        <v>212</v>
      </c>
      <c r="C15" s="479" t="str">
        <f>VLOOKUP(Tableau2[[#This Row],[Colonne1]],Tableau124[#All],2,FALSE)</f>
        <v>Yonne (89)</v>
      </c>
      <c r="D15" s="199" t="str">
        <f>VLOOKUP(Tableau2[[#This Row],[Colonne1]],Tableau124[#All],3,FALSE)</f>
        <v>Auxerre</v>
      </c>
      <c r="E15" s="199">
        <f>VLOOKUP(Tableau2[[#This Row],[Colonne1]],Tableau124[#All],4,FALSE)</f>
        <v>89000</v>
      </c>
      <c r="F15" s="199" t="str">
        <f>VLOOKUP(Tableau2[[#This Row],[Colonne1]],Tableau124[#All],5,FALSE)</f>
        <v>CHRS  4 Rue Thomas Ancel</v>
      </c>
      <c r="G15" s="199" t="str">
        <f>VLOOKUP(Tableau2[[#This Row],[Colonne1]],Tableau124[#All],6,FALSE)</f>
        <v>CSAPA</v>
      </c>
      <c r="H15" s="199" t="str">
        <f>VLOOKUP(Tableau2[[#This Row],[Colonne1]],Tableau124[#All],7,FALSE)</f>
        <v>CSAPA Auxerre</v>
      </c>
      <c r="I15" s="199" t="str">
        <f>VLOOKUP(Tableau2[[#This Row],[Colonne1]],Tableau124[#All],8,FALSE)</f>
        <v>Public</v>
      </c>
      <c r="J15" s="645" t="str">
        <f>VLOOKUP(Tableau2[[#This Row],[Colonne1]],Tableau124[#All],9,FALSE)</f>
        <v xml:space="preserve"> </v>
      </c>
      <c r="K15" s="482" t="str">
        <f>VLOOKUP(Tableau2[[#This Row],[Colonne1]],Tableau124[#All],10,FALSE)</f>
        <v>03 86 51 46 99 -</v>
      </c>
      <c r="L15" s="258" t="str">
        <f>VLOOKUP(Tableau2[[#This Row],[Colonne1]],Tableau124[#All],11,FALSE)</f>
        <v xml:space="preserve"> </v>
      </c>
      <c r="M15" s="101" t="str">
        <f>VLOOKUP(Tableau2[[#This Row],[Colonne1]],Tableau124[#All],12,FALSE)</f>
        <v>Jeudi 9h à 12h30 et 13h30 à 18h</v>
      </c>
      <c r="N15" s="198" t="str">
        <f>VLOOKUP(Tableau2[[#This Row],[Colonne1]],Tableau124[#All],13,FALSE)</f>
        <v xml:space="preserve">  </v>
      </c>
    </row>
    <row r="16" spans="1:14" ht="86.45" customHeight="1">
      <c r="B16" s="196">
        <v>2</v>
      </c>
      <c r="C16" s="479" t="str">
        <f>VLOOKUP(Tableau2[[#This Row],[Colonne1]],Tableau124[#All],2,FALSE)</f>
        <v>Côte-d’Or (21)</v>
      </c>
      <c r="D16" s="156" t="str">
        <f>VLOOKUP(Tableau2[[#This Row],[Colonne1]],Tableau124[#All],3,FALSE)</f>
        <v>Auxonne</v>
      </c>
      <c r="E16" s="156" t="str">
        <f>VLOOKUP(Tableau2[[#This Row],[Colonne1]],Tableau124[#All],4,FALSE)</f>
        <v>21121</v>
      </c>
      <c r="F16" s="479" t="str">
        <f>VLOOKUP(Tableau2[[#This Row],[Colonne1]],Tableau124[#All],5,FALSE)</f>
        <v>Centre hospitalier, 5 rue du Château 21130 Auxonne</v>
      </c>
      <c r="G16" s="479" t="str">
        <f>VLOOKUP(Tableau2[[#This Row],[Colonne1]],Tableau124[#All],6,FALSE)</f>
        <v>CSAPA (consultations avancées)</v>
      </c>
      <c r="H16" s="156" t="str">
        <f>VLOOKUP(Tableau2[[#This Row],[Colonne1]],Tableau124[#All],7,FALSE)</f>
        <v>Association Addictions France 21</v>
      </c>
      <c r="I16" s="156" t="str">
        <f>VLOOKUP(Tableau2[[#This Row],[Colonne1]],Tableau124[#All],8,FALSE)</f>
        <v>Associatif</v>
      </c>
      <c r="J16" s="506" t="str">
        <f>VLOOKUP(Tableau2[[#This Row],[Colonne1]],Tableau124[#All],9,FALSE)</f>
        <v>csapa.dijon@addictions-france.org</v>
      </c>
      <c r="K16" s="243" t="str">
        <f>VLOOKUP(Tableau2[[#This Row],[Colonne1]],Tableau124[#All],10,FALSE)</f>
        <v>03 80 73 26 32</v>
      </c>
      <c r="L16" s="326" t="str">
        <f>VLOOKUP(Tableau2[[#This Row],[Colonne1]],Tableau124[#All],11,FALSE)</f>
        <v>www.addictions-france.org</v>
      </c>
      <c r="M16" s="269" t="str">
        <f>VLOOKUP(Tableau2[[#This Row],[Colonne1]],Tableau124[#All],12,FALSE)</f>
        <v xml:space="preserve">Lundi : 14h-17h
</v>
      </c>
      <c r="N16" s="198" t="str">
        <f>VLOOKUP(Tableau2[[#This Row],[Colonne1]],Tableau124[#All],13,FALSE)</f>
        <v xml:space="preserve">  </v>
      </c>
    </row>
    <row r="17" spans="2:14" ht="86.45" customHeight="1">
      <c r="B17" s="196">
        <v>1</v>
      </c>
      <c r="C17" s="508" t="str">
        <f>VLOOKUP(Tableau2[[#This Row],[Colonne1]],Tableau124[#All],2,FALSE)</f>
        <v>Côte-d’Or (21)</v>
      </c>
      <c r="D17" s="508" t="str">
        <f>VLOOKUP(Tableau2[[#This Row],[Colonne1]],Tableau124[#All],3,FALSE)</f>
        <v>Auxonne</v>
      </c>
      <c r="E17" s="508" t="str">
        <f>VLOOKUP(Tableau2[[#This Row],[Colonne1]],Tableau124[#All],4,FALSE)</f>
        <v>21121</v>
      </c>
      <c r="F17" s="508" t="str">
        <f>VLOOKUP(Tableau2[[#This Row],[Colonne1]],Tableau124[#All],5,FALSE)</f>
        <v>Centre hospitalier, 5 rue du Château 21130 Auxonne</v>
      </c>
      <c r="G17" s="508" t="str">
        <f>VLOOKUP(Tableau2[[#This Row],[Colonne1]],Tableau124[#All],6,FALSE)</f>
        <v>CJC</v>
      </c>
      <c r="H17" s="508" t="str">
        <f>VLOOKUP(Tableau2[[#This Row],[Colonne1]],Tableau124[#All],7,FALSE)</f>
        <v>Association Addictions France 21</v>
      </c>
      <c r="I17" s="508" t="str">
        <f>VLOOKUP(Tableau2[[#This Row],[Colonne1]],Tableau124[#All],8,FALSE)</f>
        <v>Associatif</v>
      </c>
      <c r="J17" s="521" t="str">
        <f>VLOOKUP(Tableau2[[#This Row],[Colonne1]],Tableau124[#All],9,FALSE)</f>
        <v>csapa.dijon@addictions-france.org</v>
      </c>
      <c r="K17" s="518" t="str">
        <f>VLOOKUP(Tableau2[[#This Row],[Colonne1]],Tableau124[#All],10,FALSE)</f>
        <v>03 80 73 26 32</v>
      </c>
      <c r="L17" s="510" t="str">
        <f>VLOOKUP(Tableau2[[#This Row],[Colonne1]],Tableau124[#All],11,FALSE)</f>
        <v>www.addictions-france.org</v>
      </c>
      <c r="M17" s="511" t="str">
        <f>VLOOKUP(Tableau2[[#This Row],[Colonne1]],Tableau124[#All],12,FALSE)</f>
        <v xml:space="preserve">Lundi : 14h-17h
</v>
      </c>
      <c r="N17" s="512" t="str">
        <f>VLOOKUP(Tableau2[[#This Row],[Colonne1]],Tableau124[#All],13,FALSE)</f>
        <v xml:space="preserve">  </v>
      </c>
    </row>
    <row r="18" spans="2:14" ht="86.45" customHeight="1">
      <c r="B18" s="196">
        <v>223</v>
      </c>
      <c r="C18" s="156" t="str">
        <f>VLOOKUP(Tableau2[[#This Row],[Colonne1]],Tableau124[#All],2,FALSE)</f>
        <v>Yonne (89)</v>
      </c>
      <c r="D18" s="156" t="str">
        <f>VLOOKUP(Tableau2[[#This Row],[Colonne1]],Tableau124[#All],3,FALSE)</f>
        <v>Avallon</v>
      </c>
      <c r="E18" s="156">
        <f>VLOOKUP(Tableau2[[#This Row],[Colonne1]],Tableau124[#All],4,FALSE)</f>
        <v>89200</v>
      </c>
      <c r="F18" s="156" t="str">
        <f>VLOOKUP(Tableau2[[#This Row],[Colonne1]],Tableau124[#All],5,FALSE)</f>
        <v>Centre hospitalier, Centre de périnatalité : 1 rue de l'Hôpital 89200 Avallon</v>
      </c>
      <c r="G18" s="156" t="str">
        <f>VLOOKUP(Tableau2[[#This Row],[Colonne1]],Tableau124[#All],6,FALSE)</f>
        <v>CSAPA (consultations avancées)</v>
      </c>
      <c r="H18" s="156" t="str">
        <f>VLOOKUP(Tableau2[[#This Row],[Colonne1]],Tableau124[#All],7,FALSE)</f>
        <v>Association Addictions France</v>
      </c>
      <c r="I18" s="156" t="str">
        <f>VLOOKUP(Tableau2[[#This Row],[Colonne1]],Tableau124[#All],8,FALSE)</f>
        <v>Associatif</v>
      </c>
      <c r="J18" s="499" t="str">
        <f>VLOOKUP(Tableau2[[#This Row],[Colonne1]],Tableau124[#All],9,FALSE)</f>
        <v>csapa.dijon@addictions-france.org</v>
      </c>
      <c r="K18" s="238" t="str">
        <f>VLOOKUP(Tableau2[[#This Row],[Colonne1]],Tableau124[#All],10,FALSE)</f>
        <v>03 80 73 26 32</v>
      </c>
      <c r="L18" s="318" t="str">
        <f>VLOOKUP(Tableau2[[#This Row],[Colonne1]],Tableau124[#All],11,FALSE)</f>
        <v>www.addictions-france.org</v>
      </c>
      <c r="M18" s="101" t="str">
        <f>VLOOKUP(Tableau2[[#This Row],[Colonne1]],Tableau124[#All],12,FALSE)</f>
        <v>Mardi 9h 17h30 / Vendredi : 9h 17h00 en fonction des RV</v>
      </c>
      <c r="N18" s="649" t="str">
        <f>VLOOKUP(Tableau2[[#This Row],[Colonne1]],Tableau124[#All],13,FALSE)</f>
        <v xml:space="preserve">  </v>
      </c>
    </row>
    <row r="19" spans="2:14" ht="86.45" customHeight="1">
      <c r="B19" s="196">
        <v>222</v>
      </c>
      <c r="C19" s="156" t="str">
        <f>VLOOKUP(Tableau2[[#This Row],[Colonne1]],Tableau124[#All],2,FALSE)</f>
        <v>Yonne (89)</v>
      </c>
      <c r="D19" s="156" t="str">
        <f>VLOOKUP(Tableau2[[#This Row],[Colonne1]],Tableau124[#All],3,FALSE)</f>
        <v>Avallon</v>
      </c>
      <c r="E19" s="156">
        <f>VLOOKUP(Tableau2[[#This Row],[Colonne1]],Tableau124[#All],4,FALSE)</f>
        <v>89200</v>
      </c>
      <c r="F19" s="156" t="str">
        <f>VLOOKUP(Tableau2[[#This Row],[Colonne1]],Tableau124[#All],5,FALSE)</f>
        <v>Centre hospitalier, 1 Rue de l'Hôpital 89200 Avallon</v>
      </c>
      <c r="G19" s="156" t="str">
        <f>VLOOKUP(Tableau2[[#This Row],[Colonne1]],Tableau124[#All],6,FALSE)</f>
        <v>CSAPA (consultations avancées)</v>
      </c>
      <c r="H19" s="156" t="str">
        <f>VLOOKUP(Tableau2[[#This Row],[Colonne1]],Tableau124[#All],7,FALSE)</f>
        <v xml:space="preserve">Association Addictions France </v>
      </c>
      <c r="I19" s="156" t="str">
        <f>VLOOKUP(Tableau2[[#This Row],[Colonne1]],Tableau124[#All],8,FALSE)</f>
        <v>Associatif</v>
      </c>
      <c r="J19" s="654" t="str">
        <f>VLOOKUP(Tableau2[[#This Row],[Colonne1]],Tableau124[#All],9,FALSE)</f>
        <v>csapa.dijon@addictions-france.org</v>
      </c>
      <c r="K19" s="238" t="str">
        <f>VLOOKUP(Tableau2[[#This Row],[Colonne1]],Tableau124[#All],10,FALSE)</f>
        <v>03 80 73 26 32</v>
      </c>
      <c r="L19" s="318" t="str">
        <f>VLOOKUP(Tableau2[[#This Row],[Colonne1]],Tableau124[#All],11,FALSE)</f>
        <v>www.addictions-france.org</v>
      </c>
      <c r="M19" s="101" t="str">
        <f>VLOOKUP(Tableau2[[#This Row],[Colonne1]],Tableau124[#All],12,FALSE)</f>
        <v>Mardi 9h 17h30  / Vendredi : 9h 17h00</v>
      </c>
      <c r="N19" s="649" t="str">
        <f>VLOOKUP(Tableau2[[#This Row],[Colonne1]],Tableau124[#All],13,FALSE)</f>
        <v xml:space="preserve">  </v>
      </c>
    </row>
    <row r="20" spans="2:14" ht="86.45" customHeight="1">
      <c r="B20" s="196">
        <v>46</v>
      </c>
      <c r="C20" s="156" t="str">
        <f>VLOOKUP(Tableau2[[#This Row],[Colonne1]],Tableau124[#All],2,FALSE)</f>
        <v>Doubs (25)</v>
      </c>
      <c r="D20" s="156" t="str">
        <f>VLOOKUP(Tableau2[[#This Row],[Colonne1]],Tableau124[#All],3,FALSE)</f>
        <v>Baumes Les Dames</v>
      </c>
      <c r="E20" s="156">
        <f>VLOOKUP(Tableau2[[#This Row],[Colonne1]],Tableau124[#All],4,FALSE)</f>
        <v>25110</v>
      </c>
      <c r="F20" s="156" t="str">
        <f>VLOOKUP(Tableau2[[#This Row],[Colonne1]],Tableau124[#All],5,FALSE)</f>
        <v>CMS Baumes les Dames, 2 rue des Frères Grenier</v>
      </c>
      <c r="G20" s="156" t="str">
        <f>VLOOKUP(Tableau2[[#This Row],[Colonne1]],Tableau124[#All],6,FALSE)</f>
        <v>CSAPA (consultations avancées)</v>
      </c>
      <c r="H20" s="156" t="str">
        <f>VLOOKUP(Tableau2[[#This Row],[Colonne1]],Tableau124[#All],7,FALSE)</f>
        <v>CSAPA de Besançon - Association Addictions France - consultations avancées</v>
      </c>
      <c r="I20" s="156" t="str">
        <f>VLOOKUP(Tableau2[[#This Row],[Colonne1]],Tableau124[#All],8,FALSE)</f>
        <v>Associatif</v>
      </c>
      <c r="J20" s="318" t="str">
        <f>VLOOKUP(Tableau2[[#This Row],[Colonne1]],Tableau124[#All],9,FALSE)</f>
        <v>csapa.besancon@addictions-france.org</v>
      </c>
      <c r="K20" s="238" t="str">
        <f>VLOOKUP(Tableau2[[#This Row],[Colonne1]],Tableau124[#All],10,FALSE)</f>
        <v>03.81.83.22.79</v>
      </c>
      <c r="L20" s="496" t="str">
        <f>VLOOKUP(Tableau2[[#This Row],[Colonne1]],Tableau124[#All],11,FALSE)</f>
        <v>www.addictions-france.org</v>
      </c>
      <c r="M20" s="101" t="str">
        <f>VLOOKUP(Tableau2[[#This Row],[Colonne1]],Tableau124[#All],12,FALSE)</f>
        <v>Un mardi toute les trois semaines de 9h à 12h et de 13h30 à 17h</v>
      </c>
      <c r="N20" s="487" t="str">
        <f>VLOOKUP(Tableau2[[#This Row],[Colonne1]],Tableau124[#All],13,FALSE)</f>
        <v>Réalisation de consultations avancées</v>
      </c>
    </row>
    <row r="21" spans="2:14" ht="45">
      <c r="B21" s="196">
        <v>3</v>
      </c>
      <c r="C21" s="156" t="str">
        <f>VLOOKUP(Tableau2[[#This Row],[Colonne1]],Tableau124[#All],2,FALSE)</f>
        <v>Côte-d’Or (21)</v>
      </c>
      <c r="D21" s="156" t="str">
        <f>VLOOKUP(Tableau2[[#This Row],[Colonne1]],Tableau124[#All],3,FALSE)</f>
        <v>Beaune</v>
      </c>
      <c r="E21" s="156">
        <f>VLOOKUP(Tableau2[[#This Row],[Colonne1]],Tableau124[#All],4,FALSE)</f>
        <v>21200</v>
      </c>
      <c r="F21" s="156" t="str">
        <f>VLOOKUP(Tableau2[[#This Row],[Colonne1]],Tableau124[#All],5,FALSE)</f>
        <v>10, avenue Jaffelin 21200 Beaune</v>
      </c>
      <c r="G21" s="156" t="str">
        <f>VLOOKUP(Tableau2[[#This Row],[Colonne1]],Tableau124[#All],6,FALSE)</f>
        <v>Antenne CSAPA</v>
      </c>
      <c r="H21" s="156" t="str">
        <f>VLOOKUP(Tableau2[[#This Row],[Colonne1]],Tableau124[#All],7,FALSE)</f>
        <v>Association Addictions France 21</v>
      </c>
      <c r="I21" s="156" t="str">
        <f>VLOOKUP(Tableau2[[#This Row],[Colonne1]],Tableau124[#All],8,FALSE)</f>
        <v>Associatif</v>
      </c>
      <c r="J21" s="500" t="str">
        <f>VLOOKUP(Tableau2[[#This Row],[Colonne1]],Tableau124[#All],9,FALSE)</f>
        <v>csapa.beaune@addictions-France.org</v>
      </c>
      <c r="K21" s="482" t="str">
        <f>VLOOKUP(Tableau2[[#This Row],[Colonne1]],Tableau124[#All],10,FALSE)</f>
        <v>03 80 25 73 67</v>
      </c>
      <c r="L21" s="496" t="str">
        <f>VLOOKUP(Tableau2[[#This Row],[Colonne1]],Tableau124[#All],11,FALSE)</f>
        <v>www.addictions-france.org</v>
      </c>
      <c r="M21" s="199" t="str">
        <f>VLOOKUP(Tableau2[[#This Row],[Colonne1]],Tableau124[#All],12,FALSE)</f>
        <v xml:space="preserve">Lu : 9h-16h30 / Ma : 9h 14h / Me : 9h 12h / Je : 9h 16h / Ve : 9h 12h </v>
      </c>
      <c r="N21" s="198" t="str">
        <f>VLOOKUP(Tableau2[[#This Row],[Colonne1]],Tableau124[#All],13,FALSE)</f>
        <v xml:space="preserve">  </v>
      </c>
    </row>
    <row r="22" spans="2:14" ht="30">
      <c r="B22" s="196">
        <v>4</v>
      </c>
      <c r="C22" s="156" t="str">
        <f>VLOOKUP(Tableau2[[#This Row],[Colonne1]],Tableau124[#All],2,FALSE)</f>
        <v>Côte-d’Or (21)</v>
      </c>
      <c r="D22" s="156" t="str">
        <f>VLOOKUP(Tableau2[[#This Row],[Colonne1]],Tableau124[#All],3,FALSE)</f>
        <v>Beaune</v>
      </c>
      <c r="E22" s="156">
        <f>VLOOKUP(Tableau2[[#This Row],[Colonne1]],Tableau124[#All],4,FALSE)</f>
        <v>21200</v>
      </c>
      <c r="F22" s="156" t="str">
        <f>VLOOKUP(Tableau2[[#This Row],[Colonne1]],Tableau124[#All],5,FALSE)</f>
        <v>10, Rue Jaffelin</v>
      </c>
      <c r="G22" s="156" t="str">
        <f>VLOOKUP(Tableau2[[#This Row],[Colonne1]],Tableau124[#All],6,FALSE)</f>
        <v>Antenne CSAPA</v>
      </c>
      <c r="H22" s="156" t="str">
        <f>VLOOKUP(Tableau2[[#This Row],[Colonne1]],Tableau124[#All],7,FALSE)</f>
        <v>CSAPA Tivoli, Caarud le Spot - SEDAP</v>
      </c>
      <c r="I22" s="156" t="str">
        <f>VLOOKUP(Tableau2[[#This Row],[Colonne1]],Tableau124[#All],8,FALSE)</f>
        <v>Associatif</v>
      </c>
      <c r="J22" s="496" t="str">
        <f>VLOOKUP(Tableau2[[#This Row],[Colonne1]],Tableau124[#All],9,FALSE)</f>
        <v>csapa.beaune@addictions-sedap.fr</v>
      </c>
      <c r="K22" s="482" t="str">
        <f>VLOOKUP(Tableau2[[#This Row],[Colonne1]],Tableau124[#All],10,FALSE)</f>
        <v>0380257367</v>
      </c>
      <c r="L22" s="502" t="str">
        <f>VLOOKUP(Tableau2[[#This Row],[Colonne1]],Tableau124[#All],11,FALSE)</f>
        <v xml:space="preserve"> </v>
      </c>
      <c r="M22" s="199" t="str">
        <f>VLOOKUP(Tableau2[[#This Row],[Colonne1]],Tableau124[#All],12,FALSE)</f>
        <v>Tous les jours - 9h-12h et 14h-17h</v>
      </c>
      <c r="N22" s="198" t="str">
        <f>VLOOKUP(Tableau2[[#This Row],[Colonne1]],Tableau124[#All],13,FALSE)</f>
        <v xml:space="preserve">   </v>
      </c>
    </row>
    <row r="23" spans="2:14" ht="86.45" customHeight="1">
      <c r="B23" s="196">
        <v>5</v>
      </c>
      <c r="C23" s="111" t="str">
        <f>VLOOKUP(Tableau2[[#This Row],[Colonne1]],Tableau124[#All],2,FALSE)</f>
        <v>Côte-d’Or (21)</v>
      </c>
      <c r="D23" s="111" t="str">
        <f>VLOOKUP(Tableau2[[#This Row],[Colonne1]],Tableau124[#All],3,FALSE)</f>
        <v>Beaune</v>
      </c>
      <c r="E23" s="111" t="str">
        <f>VLOOKUP(Tableau2[[#This Row],[Colonne1]],Tableau124[#All],4,FALSE)</f>
        <v>21200</v>
      </c>
      <c r="F23" s="111" t="str">
        <f>VLOOKUP(Tableau2[[#This Row],[Colonne1]],Tableau124[#All],5,FALSE)</f>
        <v>HOSPICES CIVILS DE BEAUNE
Nouveau bâtiment, 1er étage 
Avenue Guigone de Salins</v>
      </c>
      <c r="G23" s="111" t="str">
        <f>VLOOKUP(Tableau2[[#This Row],[Colonne1]],Tableau124[#All],6,FALSE)</f>
        <v>Consultations Hospitalières externes d'addictologie</v>
      </c>
      <c r="H23" s="111" t="str">
        <f>VLOOKUP(Tableau2[[#This Row],[Colonne1]],Tableau124[#All],7,FALSE)</f>
        <v>Hospices Civils de Beaune</v>
      </c>
      <c r="I23" s="111" t="str">
        <f>VLOOKUP(Tableau2[[#This Row],[Colonne1]],Tableau124[#All],8,FALSE)</f>
        <v>Public</v>
      </c>
      <c r="J23" s="311" t="str">
        <f>VLOOKUP(Tableau2[[#This Row],[Colonne1]],Tableau124[#All],9,FALSE)</f>
        <v>direction@ch-beaune.fr</v>
      </c>
      <c r="K23" s="239" t="str">
        <f>VLOOKUP(Tableau2[[#This Row],[Colonne1]],Tableau124[#All],10,FALSE)</f>
        <v>0380244608</v>
      </c>
      <c r="L23" s="311" t="str">
        <f>VLOOKUP(Tableau2[[#This Row],[Colonne1]],Tableau124[#All],11,FALSE)</f>
        <v>http://hospices-de-beaune.com/</v>
      </c>
      <c r="M23" s="129" t="str">
        <f>VLOOKUP(Tableau2[[#This Row],[Colonne1]],Tableau124[#All],12,FALSE)</f>
        <v>Du lundi au vendredi de 9h00 à 17h00</v>
      </c>
      <c r="N23" s="486" t="str">
        <f>VLOOKUP(Tableau2[[#This Row],[Colonne1]],Tableau124[#All],13,FALSE)</f>
        <v xml:space="preserve">Intervention auprès de public majeurs </v>
      </c>
    </row>
    <row r="24" spans="2:14" ht="86.45" customHeight="1">
      <c r="B24" s="196">
        <v>198</v>
      </c>
      <c r="C24" s="111" t="str">
        <f>VLOOKUP(Tableau2[[#This Row],[Colonne1]],Tableau124[#All],2,FALSE)</f>
        <v>Territoire de Belfort (90)</v>
      </c>
      <c r="D24" s="111" t="str">
        <f>VLOOKUP(Tableau2[[#This Row],[Colonne1]],Tableau124[#All],3,FALSE)</f>
        <v>Belfort</v>
      </c>
      <c r="E24" s="111">
        <f>VLOOKUP(Tableau2[[#This Row],[Colonne1]],Tableau124[#All],4,FALSE)</f>
        <v>90000</v>
      </c>
      <c r="F24" s="111" t="str">
        <f>VLOOKUP(Tableau2[[#This Row],[Colonne1]],Tableau124[#All],5,FALSE)</f>
        <v>CMP Adultes, 53 Bd  Renaud de Bourgogne</v>
      </c>
      <c r="G24" s="478" t="str">
        <f>VLOOKUP(Tableau2[[#This Row],[Colonne1]],Tableau124[#All],6,FALSE)</f>
        <v>Consultations Hospitalières externes d'addictologie</v>
      </c>
      <c r="H24" s="111" t="str">
        <f>VLOOKUP(Tableau2[[#This Row],[Colonne1]],Tableau124[#All],7,FALSE)</f>
        <v>AHBFC</v>
      </c>
      <c r="I24" s="111" t="str">
        <f>VLOOKUP(Tableau2[[#This Row],[Colonne1]],Tableau124[#All],8,FALSE)</f>
        <v>Associatif</v>
      </c>
      <c r="J24" s="311" t="str">
        <f>VLOOKUP(Tableau2[[#This Row],[Colonne1]],Tableau124[#All],9,FALSE)</f>
        <v>contact@ahbfc.fr</v>
      </c>
      <c r="K24" s="239" t="str">
        <f>VLOOKUP(Tableau2[[#This Row],[Colonne1]],Tableau124[#All],10,FALSE)</f>
        <v>03 84 57 45 37</v>
      </c>
      <c r="L24" s="311" t="str">
        <f>VLOOKUP(Tableau2[[#This Row],[Colonne1]],Tableau124[#All],11,FALSE)</f>
        <v>www.ahbfc.fr</v>
      </c>
      <c r="M24" s="129" t="str">
        <f>VLOOKUP(Tableau2[[#This Row],[Colonne1]],Tableau124[#All],12,FALSE)</f>
        <v>du lundi au vendredi après-midi (14h-17h), sur rendez-vous.</v>
      </c>
      <c r="N24" s="486" t="str">
        <f>VLOOKUP(Tableau2[[#This Row],[Colonne1]],Tableau124[#All],13,FALSE)</f>
        <v>Intervention auprès de public majeurs</v>
      </c>
    </row>
    <row r="25" spans="2:14" ht="86.45" customHeight="1">
      <c r="B25" s="196">
        <v>199</v>
      </c>
      <c r="C25" s="111" t="str">
        <f>VLOOKUP(Tableau2[[#This Row],[Colonne1]],Tableau124[#All],2,FALSE)</f>
        <v>Territoire de Belfort (90)</v>
      </c>
      <c r="D25" s="111" t="str">
        <f>VLOOKUP(Tableau2[[#This Row],[Colonne1]],Tableau124[#All],3,FALSE)</f>
        <v>Belfort</v>
      </c>
      <c r="E25" s="111">
        <f>VLOOKUP(Tableau2[[#This Row],[Colonne1]],Tableau124[#All],4,FALSE)</f>
        <v>90000</v>
      </c>
      <c r="F25" s="111" t="str">
        <f>VLOOKUP(Tableau2[[#This Row],[Colonne1]],Tableau124[#All],5,FALSE)</f>
        <v>CMP, 2 Av. des Usines</v>
      </c>
      <c r="G25" s="111" t="str">
        <f>VLOOKUP(Tableau2[[#This Row],[Colonne1]],Tableau124[#All],6,FALSE)</f>
        <v>Consultations Hospitalières externes en tabacologie (autre lieu d'intervention)</v>
      </c>
      <c r="H25" s="111" t="str">
        <f>VLOOKUP(Tableau2[[#This Row],[Colonne1]],Tableau124[#All],7,FALSE)</f>
        <v>CMP (AHBFC)</v>
      </c>
      <c r="I25" s="111" t="str">
        <f>VLOOKUP(Tableau2[[#This Row],[Colonne1]],Tableau124[#All],8,FALSE)</f>
        <v>Associatif</v>
      </c>
      <c r="J25" s="311" t="str">
        <f>VLOOKUP(Tableau2[[#This Row],[Colonne1]],Tableau124[#All],9,FALSE)</f>
        <v>contact@ahbfc.fr</v>
      </c>
      <c r="K25" s="239" t="str">
        <f>VLOOKUP(Tableau2[[#This Row],[Colonne1]],Tableau124[#All],10,FALSE)</f>
        <v>03 84 68 25 00</v>
      </c>
      <c r="L25" s="311" t="str">
        <f>VLOOKUP(Tableau2[[#This Row],[Colonne1]],Tableau124[#All],11,FALSE)</f>
        <v>www.ahbfc.fr</v>
      </c>
      <c r="M25" s="129" t="str">
        <f>VLOOKUP(Tableau2[[#This Row],[Colonne1]],Tableau124[#All],12,FALSE)</f>
        <v>du lundi au vendredi 14h-17h</v>
      </c>
      <c r="N25" s="129" t="str">
        <f>VLOOKUP(Tableau2[[#This Row],[Colonne1]],Tableau124[#All],13,FALSE)</f>
        <v xml:space="preserve">Intervention auprès de public majeurs </v>
      </c>
    </row>
    <row r="26" spans="2:14" ht="86.45" customHeight="1">
      <c r="B26" s="196">
        <v>201</v>
      </c>
      <c r="C26" s="156" t="str">
        <f>VLOOKUP(Tableau2[[#This Row],[Colonne1]],Tableau124[#All],2,FALSE)</f>
        <v>Territoire de Belfort (90)</v>
      </c>
      <c r="D26" s="156" t="str">
        <f>VLOOKUP(Tableau2[[#This Row],[Colonne1]],Tableau124[#All],3,FALSE)</f>
        <v>Belfort</v>
      </c>
      <c r="E26" s="156" t="str">
        <f>VLOOKUP(Tableau2[[#This Row],[Colonne1]],Tableau124[#All],4,FALSE)</f>
        <v>90000</v>
      </c>
      <c r="F26" s="156" t="str">
        <f>VLOOKUP(Tableau2[[#This Row],[Colonne1]],Tableau124[#All],5,FALSE)</f>
        <v>6 Rue du Rhône</v>
      </c>
      <c r="G26" s="156" t="str">
        <f>VLOOKUP(Tableau2[[#This Row],[Colonne1]],Tableau124[#All],6,FALSE)</f>
        <v>CSAPA</v>
      </c>
      <c r="H26" s="156" t="str">
        <f>VLOOKUP(Tableau2[[#This Row],[Colonne1]],Tableau124[#All],7,FALSE)</f>
        <v>CSAPA de Belfort - Association Addictions France
CSAPA Le Relais Equinoxe - Association d'Hygiène Sociale de Franche Comté</v>
      </c>
      <c r="I26" s="156" t="str">
        <f>VLOOKUP(Tableau2[[#This Row],[Colonne1]],Tableau124[#All],8,FALSE)</f>
        <v>Associatif</v>
      </c>
      <c r="J26" s="318" t="str">
        <f>VLOOKUP(Tableau2[[#This Row],[Colonne1]],Tableau124[#All],9,FALSE)</f>
        <v>csapa.belfort@addictions-france.org
pole-addictologie.nfc@ahs-fc.fr</v>
      </c>
      <c r="K26" s="238" t="str">
        <f>VLOOKUP(Tableau2[[#This Row],[Colonne1]],Tableau124[#All],10,FALSE)</f>
        <v>03.84.22.31.39
03 84 21 76 02</v>
      </c>
      <c r="L26" s="318" t="str">
        <f>VLOOKUP(Tableau2[[#This Row],[Colonne1]],Tableau124[#All],11,FALSE)</f>
        <v>www.addictions-france.org
www.ahs-fc.fr</v>
      </c>
      <c r="M26" s="101" t="str">
        <f>VLOOKUP(Tableau2[[#This Row],[Colonne1]],Tableau124[#All],12,FALSE)</f>
        <v>Lundi au jeudi de 9h à 18h ; Vendredi de 9h à 16h
Consultations Jeunes Consommateurs : Mercredi 14h-17h (salle rdc rue du rhône) et sur les horaires du Csapa</v>
      </c>
      <c r="N26" s="284" t="str">
        <f>VLOOKUP(Tableau2[[#This Row],[Colonne1]],Tableau124[#All],13,FALSE)</f>
        <v>- Réalisation de consultations avancées sur Trevenans ;
- intervention en milieu festif ;
- Intervention en milieu pénitentiaire à la maison d'arrêt de Belfort ;
- proposition de test rapide d'orientation diagnostic (TROD) ; 
- présence d'une CJC.</v>
      </c>
    </row>
    <row r="27" spans="2:14" ht="86.45" customHeight="1">
      <c r="B27" s="196">
        <v>197</v>
      </c>
      <c r="C27" s="508" t="str">
        <f>VLOOKUP(Tableau2[[#This Row],[Colonne1]],Tableau124[#All],2,FALSE)</f>
        <v>Territoire de Belfort (90)</v>
      </c>
      <c r="D27" s="508" t="str">
        <f>VLOOKUP(Tableau2[[#This Row],[Colonne1]],Tableau124[#All],3,FALSE)</f>
        <v>Belfort</v>
      </c>
      <c r="E27" s="508">
        <f>VLOOKUP(Tableau2[[#This Row],[Colonne1]],Tableau124[#All],4,FALSE)</f>
        <v>90000</v>
      </c>
      <c r="F27" s="508" t="str">
        <f>VLOOKUP(Tableau2[[#This Row],[Colonne1]],Tableau124[#All],5,FALSE)</f>
        <v>6 rue du rhône</v>
      </c>
      <c r="G27" s="508" t="str">
        <f>VLOOKUP(Tableau2[[#This Row],[Colonne1]],Tableau124[#All],6,FALSE)</f>
        <v>CJC</v>
      </c>
      <c r="H27" s="508" t="str">
        <f>VLOOKUP(Tableau2[[#This Row],[Colonne1]],Tableau124[#All],7,FALSE)</f>
        <v>CSAPA Le Relais Equinoxe - Association d'Hygiène Sociale de Franche Comté</v>
      </c>
      <c r="I27" s="508" t="str">
        <f>VLOOKUP(Tableau2[[#This Row],[Colonne1]],Tableau124[#All],8,FALSE)</f>
        <v>Associatif</v>
      </c>
      <c r="J27" s="517" t="str">
        <f>VLOOKUP(Tableau2[[#This Row],[Colonne1]],Tableau124[#All],9,FALSE)</f>
        <v xml:space="preserve">pole-addictologie.nfc@afs-fc.fr </v>
      </c>
      <c r="K27" s="518" t="str">
        <f>VLOOKUP(Tableau2[[#This Row],[Colonne1]],Tableau124[#All],10,FALSE)</f>
        <v>03.84.21.76.02</v>
      </c>
      <c r="L27" s="517" t="str">
        <f>VLOOKUP(Tableau2[[#This Row],[Colonne1]],Tableau124[#All],11,FALSE)</f>
        <v>www.ahs-fc.fr</v>
      </c>
      <c r="M27" s="519" t="str">
        <f>VLOOKUP(Tableau2[[#This Row],[Colonne1]],Tableau124[#All],12,FALSE)</f>
        <v>Mercredi 14h 19h</v>
      </c>
      <c r="N27" s="524" t="str">
        <f>VLOOKUP(Tableau2[[#This Row],[Colonne1]],Tableau124[#All],13,FALSE)</f>
        <v xml:space="preserve">- Accueil des familles ; 
- Orientation avec et sans rendez-vous ;
- CJC accessible à la famille et l'entourage ; </v>
      </c>
    </row>
    <row r="28" spans="2:14" ht="86.45" customHeight="1">
      <c r="B28" s="196">
        <v>200</v>
      </c>
      <c r="C28" s="111" t="str">
        <f>VLOOKUP(Tableau2[[#This Row],[Colonne1]],Tableau124[#All],2,FALSE)</f>
        <v>Territoire de Belfort (90)</v>
      </c>
      <c r="D28" s="111" t="str">
        <f>VLOOKUP(Tableau2[[#This Row],[Colonne1]],Tableau124[#All],3,FALSE)</f>
        <v>Belfort</v>
      </c>
      <c r="E28" s="111">
        <f>VLOOKUP(Tableau2[[#This Row],[Colonne1]],Tableau124[#All],4,FALSE)</f>
        <v>90000</v>
      </c>
      <c r="F28" s="111" t="str">
        <f>VLOOKUP(Tableau2[[#This Row],[Colonne1]],Tableau124[#All],5,FALSE)</f>
        <v>5 Rue Jacqueline Auriol</v>
      </c>
      <c r="G28" s="111" t="str">
        <f>VLOOKUP(Tableau2[[#This Row],[Colonne1]],Tableau124[#All],6,FALSE)</f>
        <v>Consultations Hospitalières externes en tabacologie (autre lieu d'intervention)</v>
      </c>
      <c r="H28" s="111" t="str">
        <f>VLOOKUP(Tableau2[[#This Row],[Colonne1]],Tableau124[#All],7,FALSE)</f>
        <v>HNFC consultations Tech'nom (Hôpital Nord Franche-Comté)</v>
      </c>
      <c r="I28" s="111" t="str">
        <f>VLOOKUP(Tableau2[[#This Row],[Colonne1]],Tableau124[#All],8,FALSE)</f>
        <v>Public</v>
      </c>
      <c r="J28" s="311" t="str">
        <f>VLOOKUP(Tableau2[[#This Row],[Colonne1]],Tableau124[#All],9,FALSE)</f>
        <v>ds.secretariat@hnfc.fr</v>
      </c>
      <c r="K28" s="239" t="str">
        <f>VLOOKUP(Tableau2[[#This Row],[Colonne1]],Tableau124[#All],10,FALSE)</f>
        <v>03 84 98 30 40</v>
      </c>
      <c r="L28" s="311" t="str">
        <f>VLOOKUP(Tableau2[[#This Row],[Colonne1]],Tableau124[#All],11,FALSE)</f>
        <v>www.hnfc.fr</v>
      </c>
      <c r="M28" s="129" t="str">
        <f>VLOOKUP(Tableau2[[#This Row],[Colonne1]],Tableau124[#All],12,FALSE)</f>
        <v>lundi 9h à 12h</v>
      </c>
      <c r="N28" s="486" t="str">
        <f>VLOOKUP(Tableau2[[#This Row],[Colonne1]],Tableau124[#All],13,FALSE)</f>
        <v>Intervention auprès de public majeurs ainsi qu'à l'Hôpital Nord Franche-Comté</v>
      </c>
    </row>
    <row r="29" spans="2:14" ht="86.45" customHeight="1">
      <c r="B29" s="196">
        <v>203</v>
      </c>
      <c r="C29" s="203" t="str">
        <f>VLOOKUP(Tableau2[[#This Row],[Colonne1]],Tableau124[#All],2,FALSE)</f>
        <v>Territoire de Belfort (90)</v>
      </c>
      <c r="D29" s="203" t="str">
        <f>VLOOKUP(Tableau2[[#This Row],[Colonne1]],Tableau124[#All],3,FALSE)</f>
        <v xml:space="preserve">Belfort </v>
      </c>
      <c r="E29" s="203">
        <f>VLOOKUP(Tableau2[[#This Row],[Colonne1]],Tableau124[#All],4,FALSE)</f>
        <v>90000</v>
      </c>
      <c r="F29" s="203" t="str">
        <f>VLOOKUP(Tableau2[[#This Row],[Colonne1]],Tableau124[#All],5,FALSE)</f>
        <v>4 rue Georges Koechlin</v>
      </c>
      <c r="G29" s="203" t="str">
        <f>VLOOKUP(Tableau2[[#This Row],[Colonne1]],Tableau124[#All],6,FALSE)</f>
        <v>CAARUD</v>
      </c>
      <c r="H29" s="203" t="str">
        <f>VLOOKUP(Tableau2[[#This Row],[Colonne1]],Tableau124[#All],7,FALSE)</f>
        <v>CAARUD ENTR'ACTES - Association d'Hygiène Sociale de Franche Comté</v>
      </c>
      <c r="I29" s="203" t="str">
        <f>VLOOKUP(Tableau2[[#This Row],[Colonne1]],Tableau124[#All],8,FALSE)</f>
        <v>Associatif</v>
      </c>
      <c r="J29" s="363" t="str">
        <f>VLOOKUP(Tableau2[[#This Row],[Colonne1]],Tableau124[#All],9,FALSE)</f>
        <v>pole-addictologie.nfc@ahs-fc.fr</v>
      </c>
      <c r="K29" s="240" t="str">
        <f>VLOOKUP(Tableau2[[#This Row],[Colonne1]],Tableau124[#All],10,FALSE)</f>
        <v>03.84.26.12.20</v>
      </c>
      <c r="L29" s="359" t="str">
        <f>VLOOKUP(Tableau2[[#This Row],[Colonne1]],Tableau124[#All],11,FALSE)</f>
        <v>www.ahs-fc.fr</v>
      </c>
      <c r="M29" s="204" t="str">
        <f>VLOOKUP(Tableau2[[#This Row],[Colonne1]],Tableau124[#All],12,FALSE)</f>
        <v>Belfort : 
mardi et vendredi de 11h à 16h</v>
      </c>
      <c r="N29" s="488" t="str">
        <f>VLOOKUP(Tableau2[[#This Row],[Colonne1]],Tableau124[#All],13,FALSE)</f>
        <v>- unité mobile K-mobile pouvant servir de lieu d'accueil (déplacements sur tout le territoire Nord-Franche-Comté) ; 
- programme d'échange de seringues ;
- interventions ponctuelles en maraude ; 
- intervention en milieu festif ;</v>
      </c>
    </row>
    <row r="30" spans="2:14" ht="86.45" customHeight="1">
      <c r="B30" s="196">
        <v>48</v>
      </c>
      <c r="C30" s="203" t="str">
        <f>VLOOKUP(Tableau2[[#This Row],[Colonne1]],Tableau124[#All],2,FALSE)</f>
        <v>Doubs (25)</v>
      </c>
      <c r="D30" s="203" t="str">
        <f>VLOOKUP(Tableau2[[#This Row],[Colonne1]],Tableau124[#All],3,FALSE)</f>
        <v>Besançon</v>
      </c>
      <c r="E30" s="203" t="str">
        <f>VLOOKUP(Tableau2[[#This Row],[Colonne1]],Tableau124[#All],4,FALSE)</f>
        <v>25000</v>
      </c>
      <c r="F30" s="203" t="str">
        <f>VLOOKUP(Tableau2[[#This Row],[Colonne1]],Tableau124[#All],5,FALSE)</f>
        <v>2 avenue Fontaine Argent</v>
      </c>
      <c r="G30" s="203" t="str">
        <f>VLOOKUP(Tableau2[[#This Row],[Colonne1]],Tableau124[#All],6,FALSE)</f>
        <v>CAARUD</v>
      </c>
      <c r="H30" s="203" t="str">
        <f>VLOOKUP(Tableau2[[#This Row],[Colonne1]],Tableau124[#All],7,FALSE)</f>
        <v>AIDeS CAARUD25</v>
      </c>
      <c r="I30" s="203" t="str">
        <f>VLOOKUP(Tableau2[[#This Row],[Colonne1]],Tableau124[#All],8,FALSE)</f>
        <v>Associatif</v>
      </c>
      <c r="J30" s="359" t="str">
        <f>VLOOKUP(Tableau2[[#This Row],[Colonne1]],Tableau124[#All],9,FALSE)</f>
        <v>delegation25@aides.org</v>
      </c>
      <c r="K30" s="240" t="str">
        <f>VLOOKUP(Tableau2[[#This Row],[Colonne1]],Tableau124[#All],10,FALSE)</f>
        <v>03 81 81 80 00</v>
      </c>
      <c r="L30" s="359" t="str">
        <f>VLOOKUP(Tableau2[[#This Row],[Colonne1]],Tableau124[#All],11,FALSE)</f>
        <v>aides.org</v>
      </c>
      <c r="M30" s="204" t="str">
        <f>VLOOKUP(Tableau2[[#This Row],[Colonne1]],Tableau124[#All],12,FALSE)</f>
        <v>Lundi, Mercredi, Vendredi de 15h à 19h</v>
      </c>
      <c r="N30" s="282" t="str">
        <f>VLOOKUP(Tableau2[[#This Row],[Colonne1]],Tableau124[#All],13,FALSE)</f>
        <v xml:space="preserve">- unité mobile pouvant servir de lieu d'accueil (déplacement sur Bensançon, Baume les Dames, Clerval, Morteau et Pontarlier) ; 
- programme d'échange de seringues ;
- intervention en maraude ; 
- intervention en milieu festif. </v>
      </c>
    </row>
    <row r="31" spans="2:14" ht="86.45" customHeight="1">
      <c r="B31" s="196">
        <v>51</v>
      </c>
      <c r="C31" s="111" t="str">
        <f>VLOOKUP(Tableau2[[#This Row],[Colonne1]],Tableau124[#All],2,FALSE)</f>
        <v>Doubs (25)</v>
      </c>
      <c r="D31" s="111" t="str">
        <f>VLOOKUP(Tableau2[[#This Row],[Colonne1]],Tableau124[#All],3,FALSE)</f>
        <v>Besançon</v>
      </c>
      <c r="E31" s="111" t="str">
        <f>VLOOKUP(Tableau2[[#This Row],[Colonne1]],Tableau124[#All],4,FALSE)</f>
        <v>25000</v>
      </c>
      <c r="F31" s="129" t="str">
        <f>VLOOKUP(Tableau2[[#This Row],[Colonne1]],Tableau124[#All],5,FALSE)</f>
        <v>Site Minjoz, 3 Boulevard ALexandre Fleming</v>
      </c>
      <c r="G31" s="111" t="str">
        <f>VLOOKUP(Tableau2[[#This Row],[Colonne1]],Tableau124[#All],6,FALSE)</f>
        <v>Consultations Hospitalières externes d'addictologie</v>
      </c>
      <c r="H31" s="129" t="str">
        <f>VLOOKUP(Tableau2[[#This Row],[Colonne1]],Tableau124[#All],7,FALSE)</f>
        <v>CHU Besançon</v>
      </c>
      <c r="I31" s="129" t="str">
        <f>VLOOKUP(Tableau2[[#This Row],[Colonne1]],Tableau124[#All],8,FALSE)</f>
        <v xml:space="preserve">Public </v>
      </c>
      <c r="J31" s="501">
        <f>VLOOKUP(Tableau2[[#This Row],[Colonne1]],Tableau124[#All],9,FALSE)</f>
        <v>0</v>
      </c>
      <c r="K31" s="239">
        <f>VLOOKUP(Tableau2[[#This Row],[Colonne1]],Tableau124[#All],10,FALSE)</f>
        <v>0</v>
      </c>
      <c r="L31" s="311">
        <f>VLOOKUP(Tableau2[[#This Row],[Colonne1]],Tableau124[#All],11,FALSE)</f>
        <v>0</v>
      </c>
      <c r="M31" s="129" t="str">
        <f>VLOOKUP(Tableau2[[#This Row],[Colonne1]],Tableau124[#All],12,FALSE)</f>
        <v>Mercredi après midi</v>
      </c>
      <c r="N31" s="129" t="str">
        <f>VLOOKUP(Tableau2[[#This Row],[Colonne1]],Tableau124[#All],13,FALSE)</f>
        <v>Consultation spécialisée dans les addictions comportementales</v>
      </c>
    </row>
    <row r="32" spans="2:14" ht="86.45" customHeight="1">
      <c r="B32" s="196">
        <v>53</v>
      </c>
      <c r="C32" s="156" t="str">
        <f>VLOOKUP(Tableau2[[#This Row],[Colonne1]],Tableau124[#All],2,FALSE)</f>
        <v>Doubs (25)</v>
      </c>
      <c r="D32" s="156" t="str">
        <f>VLOOKUP(Tableau2[[#This Row],[Colonne1]],Tableau124[#All],3,FALSE)</f>
        <v>Besançon</v>
      </c>
      <c r="E32" s="156" t="str">
        <f>VLOOKUP(Tableau2[[#This Row],[Colonne1]],Tableau124[#All],4,FALSE)</f>
        <v>25000</v>
      </c>
      <c r="F32" s="156" t="str">
        <f>VLOOKUP(Tableau2[[#This Row],[Colonne1]],Tableau124[#All],5,FALSE)</f>
        <v>11 rue d'Alsace</v>
      </c>
      <c r="G32" s="156" t="str">
        <f>VLOOKUP(Tableau2[[#This Row],[Colonne1]],Tableau124[#All],6,FALSE)</f>
        <v>CSAPA</v>
      </c>
      <c r="H32" s="156" t="str">
        <f>VLOOKUP(Tableau2[[#This Row],[Colonne1]],Tableau124[#All],7,FALSE)</f>
        <v>CSAPA de Besançon - Association Addictions France</v>
      </c>
      <c r="I32" s="156" t="str">
        <f>VLOOKUP(Tableau2[[#This Row],[Colonne1]],Tableau124[#All],8,FALSE)</f>
        <v>Associatif</v>
      </c>
      <c r="J32" s="318" t="str">
        <f>VLOOKUP(Tableau2[[#This Row],[Colonne1]],Tableau124[#All],9,FALSE)</f>
        <v>csapa.besancon@addictions-france.org</v>
      </c>
      <c r="K32" s="238" t="str">
        <f>VLOOKUP(Tableau2[[#This Row],[Colonne1]],Tableau124[#All],10,FALSE)</f>
        <v>03.81.83.22.74</v>
      </c>
      <c r="L32" s="318" t="str">
        <f>VLOOKUP(Tableau2[[#This Row],[Colonne1]],Tableau124[#All],11,FALSE)</f>
        <v>www.addictions-france.org</v>
      </c>
      <c r="M32" s="101" t="str">
        <f>VLOOKUP(Tableau2[[#This Row],[Colonne1]],Tableau124[#All],12,FALSE)</f>
        <v>Lundi (9h/12h - 13h/16h30), Mardi (9h/12h - 13h/17h), Mercredi (9h/12h - 13h/17h), Jeudi (9h/12h - 13h/17h), Vendredi (14h30/16h)</v>
      </c>
      <c r="N32" s="492" t="str">
        <f>VLOOKUP(Tableau2[[#This Row],[Colonne1]],Tableau124[#All],13,FALSE)</f>
        <v>- Réalisation de consultations avancées sur Pontarlier, Morteau, Quingey, Chalezeule, Baumes les Dames et Besançon multi-sites ; 
- présence d'une CJC.</v>
      </c>
    </row>
    <row r="33" spans="2:14" ht="86.45" customHeight="1">
      <c r="B33" s="196">
        <v>55</v>
      </c>
      <c r="C33" s="156" t="str">
        <f>VLOOKUP(Tableau2[[#This Row],[Colonne1]],Tableau124[#All],2,FALSE)</f>
        <v>Doubs (25)</v>
      </c>
      <c r="D33" s="156" t="str">
        <f>VLOOKUP(Tableau2[[#This Row],[Colonne1]],Tableau124[#All],3,FALSE)</f>
        <v>Besançon</v>
      </c>
      <c r="E33" s="156">
        <f>VLOOKUP(Tableau2[[#This Row],[Colonne1]],Tableau124[#All],4,FALSE)</f>
        <v>25000</v>
      </c>
      <c r="F33" s="156" t="str">
        <f>VLOOKUP(Tableau2[[#This Row],[Colonne1]],Tableau124[#All],5,FALSE)</f>
        <v>SAAS, 10 rue Champrond</v>
      </c>
      <c r="G33" s="156" t="str">
        <f>VLOOKUP(Tableau2[[#This Row],[Colonne1]],Tableau124[#All],6,FALSE)</f>
        <v>CSAPA (consultations avancées)</v>
      </c>
      <c r="H33" s="156" t="str">
        <f>VLOOKUP(Tableau2[[#This Row],[Colonne1]],Tableau124[#All],7,FALSE)</f>
        <v>CSAPA de Besançon - Association Addictions France - consultations avancées</v>
      </c>
      <c r="I33" s="156" t="str">
        <f>VLOOKUP(Tableau2[[#This Row],[Colonne1]],Tableau124[#All],8,FALSE)</f>
        <v>Associatif</v>
      </c>
      <c r="J33" s="318" t="str">
        <f>VLOOKUP(Tableau2[[#This Row],[Colonne1]],Tableau124[#All],9,FALSE)</f>
        <v>csapa.besancon@addictions-france.org</v>
      </c>
      <c r="K33" s="238" t="str">
        <f>VLOOKUP(Tableau2[[#This Row],[Colonne1]],Tableau124[#All],10,FALSE)</f>
        <v>03.81.83.22.83</v>
      </c>
      <c r="L33" s="318" t="str">
        <f>VLOOKUP(Tableau2[[#This Row],[Colonne1]],Tableau124[#All],11,FALSE)</f>
        <v>www.addictions-france.org</v>
      </c>
      <c r="M33" s="101" t="str">
        <f>VLOOKUP(Tableau2[[#This Row],[Colonne1]],Tableau124[#All],12,FALSE)</f>
        <v>Vendredi de 9h à 11h30</v>
      </c>
      <c r="N33" s="487" t="str">
        <f>VLOOKUP(Tableau2[[#This Row],[Colonne1]],Tableau124[#All],13,FALSE)</f>
        <v>Réalisation de consultations avancées</v>
      </c>
    </row>
    <row r="34" spans="2:14" ht="86.45" customHeight="1">
      <c r="B34" s="196">
        <v>56</v>
      </c>
      <c r="C34" s="156" t="str">
        <f>VLOOKUP(Tableau2[[#This Row],[Colonne1]],Tableau124[#All],2,FALSE)</f>
        <v>Doubs (25)</v>
      </c>
      <c r="D34" s="156" t="str">
        <f>VLOOKUP(Tableau2[[#This Row],[Colonne1]],Tableau124[#All],3,FALSE)</f>
        <v>Besançon</v>
      </c>
      <c r="E34" s="156">
        <f>VLOOKUP(Tableau2[[#This Row],[Colonne1]],Tableau124[#All],4,FALSE)</f>
        <v>25000</v>
      </c>
      <c r="F34" s="156" t="str">
        <f>VLOOKUP(Tableau2[[#This Row],[Colonne1]],Tableau124[#All],5,FALSE)</f>
        <v>Boutique Jeanne Antide, 3 rue Champrond</v>
      </c>
      <c r="G34" s="156" t="str">
        <f>VLOOKUP(Tableau2[[#This Row],[Colonne1]],Tableau124[#All],6,FALSE)</f>
        <v>CSAPA (consultations avancées)</v>
      </c>
      <c r="H34" s="156" t="str">
        <f>VLOOKUP(Tableau2[[#This Row],[Colonne1]],Tableau124[#All],7,FALSE)</f>
        <v>CSAPA de Besançon - Association Addictions France - consultations avancées</v>
      </c>
      <c r="I34" s="156" t="str">
        <f>VLOOKUP(Tableau2[[#This Row],[Colonne1]],Tableau124[#All],8,FALSE)</f>
        <v>Associatif</v>
      </c>
      <c r="J34" s="318" t="str">
        <f>VLOOKUP(Tableau2[[#This Row],[Colonne1]],Tableau124[#All],9,FALSE)</f>
        <v>csapa.besancon@addictions-france.org</v>
      </c>
      <c r="K34" s="238" t="str">
        <f>VLOOKUP(Tableau2[[#This Row],[Colonne1]],Tableau124[#All],10,FALSE)</f>
        <v>03.81.83.22.84</v>
      </c>
      <c r="L34" s="318" t="str">
        <f>VLOOKUP(Tableau2[[#This Row],[Colonne1]],Tableau124[#All],11,FALSE)</f>
        <v>www.addictions-france.org</v>
      </c>
      <c r="M34" s="101" t="str">
        <f>VLOOKUP(Tableau2[[#This Row],[Colonne1]],Tableau124[#All],12,FALSE)</f>
        <v>Mardi de 10h30 à 11h30</v>
      </c>
      <c r="N34" s="487" t="str">
        <f>VLOOKUP(Tableau2[[#This Row],[Colonne1]],Tableau124[#All],13,FALSE)</f>
        <v>Réalisation de consultations avancées</v>
      </c>
    </row>
    <row r="35" spans="2:14" ht="86.45" customHeight="1">
      <c r="B35" s="196">
        <v>57</v>
      </c>
      <c r="C35" s="156" t="str">
        <f>VLOOKUP(Tableau2[[#This Row],[Colonne1]],Tableau124[#All],2,FALSE)</f>
        <v>Doubs (25)</v>
      </c>
      <c r="D35" s="156" t="str">
        <f>VLOOKUP(Tableau2[[#This Row],[Colonne1]],Tableau124[#All],3,FALSE)</f>
        <v>Besançon</v>
      </c>
      <c r="E35" s="156">
        <f>VLOOKUP(Tableau2[[#This Row],[Colonne1]],Tableau124[#All],4,FALSE)</f>
        <v>25000</v>
      </c>
      <c r="F35" s="156" t="str">
        <f>VLOOKUP(Tableau2[[#This Row],[Colonne1]],Tableau124[#All],5,FALSE)</f>
        <v>Résidence l'AGORA, 2 rue Pierre Mesnage</v>
      </c>
      <c r="G35" s="156" t="str">
        <f>VLOOKUP(Tableau2[[#This Row],[Colonne1]],Tableau124[#All],6,FALSE)</f>
        <v>CSAPA (consultations avancées)</v>
      </c>
      <c r="H35" s="156" t="str">
        <f>VLOOKUP(Tableau2[[#This Row],[Colonne1]],Tableau124[#All],7,FALSE)</f>
        <v>CSAPA de Besançon - Association Addictions France - consultations avancées</v>
      </c>
      <c r="I35" s="156" t="str">
        <f>VLOOKUP(Tableau2[[#This Row],[Colonne1]],Tableau124[#All],8,FALSE)</f>
        <v>Associatif</v>
      </c>
      <c r="J35" s="322" t="str">
        <f>VLOOKUP(Tableau2[[#This Row],[Colonne1]],Tableau124[#All],9,FALSE)</f>
        <v>csapa.besancon@addictions-france.org</v>
      </c>
      <c r="K35" s="243" t="str">
        <f>VLOOKUP(Tableau2[[#This Row],[Colonne1]],Tableau124[#All],10,FALSE)</f>
        <v>03.81.83.22.80</v>
      </c>
      <c r="L35" s="322" t="str">
        <f>VLOOKUP(Tableau2[[#This Row],[Colonne1]],Tableau124[#All],11,FALSE)</f>
        <v>www.addictions-france.org</v>
      </c>
      <c r="M35" s="156" t="str">
        <f>VLOOKUP(Tableau2[[#This Row],[Colonne1]],Tableau124[#All],12,FALSE)</f>
        <v>Mercredi de 10h à 12h</v>
      </c>
      <c r="N35" s="480" t="str">
        <f>VLOOKUP(Tableau2[[#This Row],[Colonne1]],Tableau124[#All],13,FALSE)</f>
        <v>Réalisation de consultations avancées</v>
      </c>
    </row>
    <row r="36" spans="2:14" ht="86.45" customHeight="1">
      <c r="B36" s="196">
        <v>59</v>
      </c>
      <c r="C36" s="156" t="str">
        <f>VLOOKUP(Tableau2[[#This Row],[Colonne1]],Tableau124[#All],2,FALSE)</f>
        <v>Doubs (25)</v>
      </c>
      <c r="D36" s="156" t="str">
        <f>VLOOKUP(Tableau2[[#This Row],[Colonne1]],Tableau124[#All],3,FALSE)</f>
        <v>Besançon</v>
      </c>
      <c r="E36" s="156">
        <f>VLOOKUP(Tableau2[[#This Row],[Colonne1]],Tableau124[#All],4,FALSE)</f>
        <v>25000</v>
      </c>
      <c r="F36" s="156" t="str">
        <f>VLOOKUP(Tableau2[[#This Row],[Colonne1]],Tableau124[#All],5,FALSE)</f>
        <v>Résidence sociale ADOMA, 12 rue Saint Martin</v>
      </c>
      <c r="G36" s="156" t="str">
        <f>VLOOKUP(Tableau2[[#This Row],[Colonne1]],Tableau124[#All],6,FALSE)</f>
        <v>CSAPA (consultations avancées)</v>
      </c>
      <c r="H36" s="156" t="str">
        <f>VLOOKUP(Tableau2[[#This Row],[Colonne1]],Tableau124[#All],7,FALSE)</f>
        <v>CSAPA de Besançon - Association Addictions France - consultations avancées</v>
      </c>
      <c r="I36" s="156" t="str">
        <f>VLOOKUP(Tableau2[[#This Row],[Colonne1]],Tableau124[#All],8,FALSE)</f>
        <v>Associatif</v>
      </c>
      <c r="J36" s="322" t="str">
        <f>VLOOKUP(Tableau2[[#This Row],[Colonne1]],Tableau124[#All],9,FALSE)</f>
        <v>csapa.besancon@addictions-france.org</v>
      </c>
      <c r="K36" s="243" t="str">
        <f>VLOOKUP(Tableau2[[#This Row],[Colonne1]],Tableau124[#All],10,FALSE)</f>
        <v>03.81.83.22.82</v>
      </c>
      <c r="L36" s="322" t="str">
        <f>VLOOKUP(Tableau2[[#This Row],[Colonne1]],Tableau124[#All],11,FALSE)</f>
        <v>www.addictions-france.org</v>
      </c>
      <c r="M36" s="156" t="str">
        <f>VLOOKUP(Tableau2[[#This Row],[Colonne1]],Tableau124[#All],12,FALSE)</f>
        <v>Un jeudi sur deux de 10h à 11h</v>
      </c>
      <c r="N36" s="480" t="str">
        <f>VLOOKUP(Tableau2[[#This Row],[Colonne1]],Tableau124[#All],13,FALSE)</f>
        <v>Réalisation de consultations avancées</v>
      </c>
    </row>
    <row r="37" spans="2:14" ht="86.45" customHeight="1">
      <c r="B37" s="196">
        <v>49</v>
      </c>
      <c r="C37" s="508" t="str">
        <f>VLOOKUP(Tableau2[[#This Row],[Colonne1]],Tableau124[#All],2,FALSE)</f>
        <v>Doubs (25)</v>
      </c>
      <c r="D37" s="508" t="str">
        <f>VLOOKUP(Tableau2[[#This Row],[Colonne1]],Tableau124[#All],3,FALSE)</f>
        <v>Besançon</v>
      </c>
      <c r="E37" s="508">
        <f>VLOOKUP(Tableau2[[#This Row],[Colonne1]],Tableau124[#All],4,FALSE)</f>
        <v>25000</v>
      </c>
      <c r="F37" s="508" t="str">
        <f>VLOOKUP(Tableau2[[#This Row],[Colonne1]],Tableau124[#All],5,FALSE)</f>
        <v xml:space="preserve">11 rue d'Alsace </v>
      </c>
      <c r="G37" s="508" t="str">
        <f>VLOOKUP(Tableau2[[#This Row],[Colonne1]],Tableau124[#All],6,FALSE)</f>
        <v>CJC</v>
      </c>
      <c r="H37" s="508" t="str">
        <f>VLOOKUP(Tableau2[[#This Row],[Colonne1]],Tableau124[#All],7,FALSE)</f>
        <v>CSAPA de Besançon - Association Addictions France</v>
      </c>
      <c r="I37" s="508" t="str">
        <f>VLOOKUP(Tableau2[[#This Row],[Colonne1]],Tableau124[#All],8,FALSE)</f>
        <v>Associatif</v>
      </c>
      <c r="J37" s="517" t="str">
        <f>VLOOKUP(Tableau2[[#This Row],[Colonne1]],Tableau124[#All],9,FALSE)</f>
        <v>csapa.besancon@addictions-france.org</v>
      </c>
      <c r="K37" s="518" t="str">
        <f>VLOOKUP(Tableau2[[#This Row],[Colonne1]],Tableau124[#All],10,FALSE)</f>
        <v>03.81.83.22.74</v>
      </c>
      <c r="L37" s="517" t="str">
        <f>VLOOKUP(Tableau2[[#This Row],[Colonne1]],Tableau124[#All],11,FALSE)</f>
        <v>www.addictions-france.org</v>
      </c>
      <c r="M37" s="519" t="str">
        <f>VLOOKUP(Tableau2[[#This Row],[Colonne1]],Tableau124[#All],12,FALSE)</f>
        <v xml:space="preserve">Mardi de 9h à 20h, mercredi /jeudi de 9h à 18h, vendredi de 9h à 13h &gt; A MODIFIER </v>
      </c>
      <c r="N37" s="516" t="str">
        <f>VLOOKUP(Tableau2[[#This Row],[Colonne1]],Tableau124[#All],13,FALSE)</f>
        <v>- Accueil des familles ; 
- Orientation avec et sans rendez-vous ;
- CJC accessible à la famille et l'entourage ; 
Nous portons le dispositif TAPAJ</v>
      </c>
    </row>
    <row r="38" spans="2:14" ht="86.45" customHeight="1">
      <c r="B38" s="196">
        <v>54</v>
      </c>
      <c r="C38" s="156" t="str">
        <f>VLOOKUP(Tableau2[[#This Row],[Colonne1]],Tableau124[#All],2,FALSE)</f>
        <v>Doubs (25)</v>
      </c>
      <c r="D38" s="156" t="str">
        <f>VLOOKUP(Tableau2[[#This Row],[Colonne1]],Tableau124[#All],3,FALSE)</f>
        <v>Besançon</v>
      </c>
      <c r="E38" s="156" t="str">
        <f>VLOOKUP(Tableau2[[#This Row],[Colonne1]],Tableau124[#All],4,FALSE)</f>
        <v>25000</v>
      </c>
      <c r="F38" s="156" t="str">
        <f>VLOOKUP(Tableau2[[#This Row],[Colonne1]],Tableau124[#All],5,FALSE)</f>
        <v>2 place René Payot</v>
      </c>
      <c r="G38" s="156" t="str">
        <f>VLOOKUP(Tableau2[[#This Row],[Colonne1]],Tableau124[#All],6,FALSE)</f>
        <v>CSAPA</v>
      </c>
      <c r="H38" s="156" t="str">
        <f>VLOOKUP(Tableau2[[#This Row],[Colonne1]],Tableau124[#All],7,FALSE)</f>
        <v>CSAPA SOLEA</v>
      </c>
      <c r="I38" s="156" t="str">
        <f>VLOOKUP(Tableau2[[#This Row],[Colonne1]],Tableau124[#All],8,FALSE)</f>
        <v>Associatif</v>
      </c>
      <c r="J38" s="318" t="str">
        <f>VLOOKUP(Tableau2[[#This Row],[Colonne1]],Tableau124[#All],9,FALSE)</f>
        <v>solea@addsea.fr</v>
      </c>
      <c r="K38" s="238" t="str">
        <f>VLOOKUP(Tableau2[[#This Row],[Colonne1]],Tableau124[#All],10,FALSE)</f>
        <v>0381830332</v>
      </c>
      <c r="L38" s="324" t="str">
        <f>VLOOKUP(Tableau2[[#This Row],[Colonne1]],Tableau124[#All],11,FALSE)</f>
        <v xml:space="preserve">solea.addsea.fr </v>
      </c>
      <c r="M38" s="101" t="str">
        <f>VLOOKUP(Tableau2[[#This Row],[Colonne1]],Tableau124[#All],12,FALSE)</f>
        <v>9h à 16h, fermeture les mardi après midi</v>
      </c>
      <c r="N38" s="284" t="str">
        <f>VLOOKUP(Tableau2[[#This Row],[Colonne1]],Tableau124[#All],13,FALSE)</f>
        <v>- Réalisation de consultations avancées sur Ornans, Valdahon, l'Isle-sur-le-Doubs ;
- Dispositif de soin résidentiel sous forme d'appartement relais à Besançon ;
- intervention en milieu festif ;
- Intervention en milieu pénitentiaire à la maison d'arrêt de Besançon et en centre de semi liberté ;
- mise à disposition de matériel de consommation à moindre risque ;
- dispositifs anti-overdose ;
- porteur d'une CJC.</v>
      </c>
    </row>
    <row r="39" spans="2:14" ht="86.45" customHeight="1">
      <c r="B39" s="196">
        <v>58</v>
      </c>
      <c r="C39" s="156" t="str">
        <f>VLOOKUP(Tableau2[[#This Row],[Colonne1]],Tableau124[#All],2,FALSE)</f>
        <v>Doubs (25)</v>
      </c>
      <c r="D39" s="156" t="str">
        <f>VLOOKUP(Tableau2[[#This Row],[Colonne1]],Tableau124[#All],3,FALSE)</f>
        <v>Besançon</v>
      </c>
      <c r="E39" s="156">
        <f>VLOOKUP(Tableau2[[#This Row],[Colonne1]],Tableau124[#All],4,FALSE)</f>
        <v>25000</v>
      </c>
      <c r="F39" s="156" t="str">
        <f>VLOOKUP(Tableau2[[#This Row],[Colonne1]],Tableau124[#All],5,FALSE)</f>
        <v>Maison d'arrêt de Besançon, rue Pergaud</v>
      </c>
      <c r="G39" s="156" t="str">
        <f>VLOOKUP(Tableau2[[#This Row],[Colonne1]],Tableau124[#All],6,FALSE)</f>
        <v>CSAPA (consultations avancées)</v>
      </c>
      <c r="H39" s="156" t="str">
        <f>VLOOKUP(Tableau2[[#This Row],[Colonne1]],Tableau124[#All],7,FALSE)</f>
        <v>CSAPA SOLEA</v>
      </c>
      <c r="I39" s="156" t="str">
        <f>VLOOKUP(Tableau2[[#This Row],[Colonne1]],Tableau124[#All],8,FALSE)</f>
        <v>Associatif</v>
      </c>
      <c r="J39" s="322" t="str">
        <f>VLOOKUP(Tableau2[[#This Row],[Colonne1]],Tableau124[#All],9,FALSE)</f>
        <v>csapa.besancon@addictions-france.org</v>
      </c>
      <c r="K39" s="243" t="str">
        <f>VLOOKUP(Tableau2[[#This Row],[Colonne1]],Tableau124[#All],10,FALSE)</f>
        <v>03.81.83.22.81</v>
      </c>
      <c r="L39" s="322" t="str">
        <f>VLOOKUP(Tableau2[[#This Row],[Colonne1]],Tableau124[#All],11,FALSE)</f>
        <v>www.addictions-france.org</v>
      </c>
      <c r="M39" s="156" t="str">
        <f>VLOOKUP(Tableau2[[#This Row],[Colonne1]],Tableau124[#All],12,FALSE)</f>
        <v xml:space="preserve">Lundi et jeudi après-midi / mercredi matin </v>
      </c>
      <c r="N39" s="156" t="str">
        <f>VLOOKUP(Tableau2[[#This Row],[Colonne1]],Tableau124[#All],13,FALSE)</f>
        <v>Réalisation de consultations avancées</v>
      </c>
    </row>
    <row r="40" spans="2:14" ht="86.45" customHeight="1">
      <c r="B40" s="196">
        <v>52</v>
      </c>
      <c r="C40" s="111" t="str">
        <f>VLOOKUP(Tableau2[[#This Row],[Colonne1]],Tableau124[#All],2,FALSE)</f>
        <v>Doubs (25)</v>
      </c>
      <c r="D40" s="111" t="str">
        <f>VLOOKUP(Tableau2[[#This Row],[Colonne1]],Tableau124[#All],3,FALSE)</f>
        <v>Besançon</v>
      </c>
      <c r="E40" s="111" t="str">
        <f>VLOOKUP(Tableau2[[#This Row],[Colonne1]],Tableau124[#All],4,FALSE)</f>
        <v>25000</v>
      </c>
      <c r="F40" s="111" t="str">
        <f>VLOOKUP(Tableau2[[#This Row],[Colonne1]],Tableau124[#All],5,FALSE)</f>
        <v>3 RUE CHAMPROND BP 181</v>
      </c>
      <c r="G40" s="111" t="str">
        <f>VLOOKUP(Tableau2[[#This Row],[Colonne1]],Tableau124[#All],6,FALSE)</f>
        <v>CSAPA (consultations avancées)</v>
      </c>
      <c r="H40" s="129" t="str">
        <f>VLOOKUP(Tableau2[[#This Row],[Colonne1]],Tableau124[#All],7,FALSE)</f>
        <v xml:space="preserve"> Boutique Jeanne Antide - CSAPA SOLEA</v>
      </c>
      <c r="I40" s="129" t="str">
        <f>VLOOKUP(Tableau2[[#This Row],[Colonne1]],Tableau124[#All],8,FALSE)</f>
        <v xml:space="preserve">Associatif </v>
      </c>
      <c r="J40" s="501" t="str">
        <f>VLOOKUP(Tableau2[[#This Row],[Colonne1]],Tableau124[#All],9,FALSE)</f>
        <v>solea@addsea.fr</v>
      </c>
      <c r="K40" s="419" t="str">
        <f>VLOOKUP(Tableau2[[#This Row],[Colonne1]],Tableau124[#All],10,FALSE)</f>
        <v>03 01 83 03 32</v>
      </c>
      <c r="L40" s="311" t="str">
        <f>VLOOKUP(Tableau2[[#This Row],[Colonne1]],Tableau124[#All],11,FALSE)</f>
        <v>addsea.fr</v>
      </c>
      <c r="M40" s="129" t="str">
        <f>VLOOKUP(Tableau2[[#This Row],[Colonne1]],Tableau124[#All],12,FALSE)</f>
        <v>Sur calendrier (vendredi matin)</v>
      </c>
      <c r="N40" s="324"/>
    </row>
    <row r="41" spans="2:14" ht="86.45" customHeight="1">
      <c r="B41" s="196">
        <v>50</v>
      </c>
      <c r="C41" s="508" t="str">
        <f>VLOOKUP(Tableau2[[#This Row],[Colonne1]],Tableau124[#All],2,FALSE)</f>
        <v>Doubs (25)</v>
      </c>
      <c r="D41" s="508" t="str">
        <f>VLOOKUP(Tableau2[[#This Row],[Colonne1]],Tableau124[#All],3,FALSE)</f>
        <v>Besançon</v>
      </c>
      <c r="E41" s="508" t="str">
        <f>VLOOKUP(Tableau2[[#This Row],[Colonne1]],Tableau124[#All],4,FALSE)</f>
        <v>25000</v>
      </c>
      <c r="F41" s="508" t="str">
        <f>VLOOKUP(Tableau2[[#This Row],[Colonne1]],Tableau124[#All],5,FALSE)</f>
        <v xml:space="preserve">3 Rue Victor SELLIER </v>
      </c>
      <c r="G41" s="508" t="str">
        <f>VLOOKUP(Tableau2[[#This Row],[Colonne1]],Tableau124[#All],6,FALSE)</f>
        <v>CJC</v>
      </c>
      <c r="H41" s="508" t="str">
        <f>VLOOKUP(Tableau2[[#This Row],[Colonne1]],Tableau124[#All],7,FALSE)</f>
        <v>CSAPA SOLEA - ADDSEA Bourgogne Franche Comté</v>
      </c>
      <c r="I41" s="508" t="str">
        <f>VLOOKUP(Tableau2[[#This Row],[Colonne1]],Tableau124[#All],8,FALSE)</f>
        <v>Associatif</v>
      </c>
      <c r="J41" s="517" t="str">
        <f>VLOOKUP(Tableau2[[#This Row],[Colonne1]],Tableau124[#All],9,FALSE)</f>
        <v>solea-bis@addsea.fr</v>
      </c>
      <c r="K41" s="518" t="str">
        <f>VLOOKUP(Tableau2[[#This Row],[Colonne1]],Tableau124[#All],10,FALSE)</f>
        <v>0381801217</v>
      </c>
      <c r="L41" s="520" t="str">
        <f>VLOOKUP(Tableau2[[#This Row],[Colonne1]],Tableau124[#All],11,FALSE)</f>
        <v xml:space="preserve"> </v>
      </c>
      <c r="M41" s="519" t="str">
        <f>VLOOKUP(Tableau2[[#This Row],[Colonne1]],Tableau124[#All],12,FALSE)</f>
        <v>fermé le lundi, 
mardi 9h/20h, mercredi 
jeudi 9h/18h
vendredi 9h/13h</v>
      </c>
      <c r="N41" s="516" t="str">
        <f>VLOOKUP(Tableau2[[#This Row],[Colonne1]],Tableau124[#All],13,FALSE)</f>
        <v xml:space="preserve">- Accueil des familles ; 
- Orientation sur rendez-vous ;
- CJC accessible à la famille et l'entourage ; 
Intervention a la Boutique Jeanne Antide (solea)
 EMA (Equipe Mobile en Addictologie)
Nous portons le dispositif TAPAJ &gt; centre de soins et non CJC &gt; concerne solea </v>
      </c>
    </row>
    <row r="42" spans="2:14" ht="86.45" customHeight="1">
      <c r="B42" s="196">
        <v>164</v>
      </c>
      <c r="C42" s="156" t="str">
        <f>VLOOKUP(Tableau2[[#This Row],[Colonne1]],Tableau124[#All],2,FALSE)</f>
        <v>Saône-et-Loire (71)</v>
      </c>
      <c r="D42" s="156" t="str">
        <f>VLOOKUP(Tableau2[[#This Row],[Colonne1]],Tableau124[#All],3,FALSE)</f>
        <v>Chagny</v>
      </c>
      <c r="E42" s="156">
        <f>VLOOKUP(Tableau2[[#This Row],[Colonne1]],Tableau124[#All],4,FALSE)</f>
        <v>71150</v>
      </c>
      <c r="F42" s="156" t="str">
        <f>VLOOKUP(Tableau2[[#This Row],[Colonne1]],Tableau124[#All],5,FALSE)</f>
        <v>Chagny santé 4 route de Beaune</v>
      </c>
      <c r="G42" s="156" t="str">
        <f>VLOOKUP(Tableau2[[#This Row],[Colonne1]],Tableau124[#All],6,FALSE)</f>
        <v>CSAPA (consultations avancées)</v>
      </c>
      <c r="H42" s="156" t="str">
        <f>VLOOKUP(Tableau2[[#This Row],[Colonne1]],Tableau124[#All],7,FALSE)</f>
        <v>CSAPA KAIRN71 - SAUVEGARDE71 - consultations avancées</v>
      </c>
      <c r="I42" s="156" t="str">
        <f>VLOOKUP(Tableau2[[#This Row],[Colonne1]],Tableau124[#All],8,FALSE)</f>
        <v>Associatif</v>
      </c>
      <c r="J42" s="318" t="str">
        <f>VLOOKUP(Tableau2[[#This Row],[Colonne1]],Tableau124[#All],9,FALSE)</f>
        <v>kairn71@sauvegarde71.fr</v>
      </c>
      <c r="K42" s="238" t="str">
        <f>VLOOKUP(Tableau2[[#This Row],[Colonne1]],Tableau124[#All],10,FALSE)</f>
        <v>0385909061</v>
      </c>
      <c r="L42" s="318" t="str">
        <f>VLOOKUP(Tableau2[[#This Row],[Colonne1]],Tableau124[#All],11,FALSE)</f>
        <v>www.sauvegarde71.fr</v>
      </c>
      <c r="M42" s="101" t="str">
        <f>VLOOKUP(Tableau2[[#This Row],[Colonne1]],Tableau124[#All],12,FALSE)</f>
        <v>1 mercredi par mois 9h-12h</v>
      </c>
      <c r="N42" s="101" t="str">
        <f>VLOOKUP(Tableau2[[#This Row],[Colonne1]],Tableau124[#All],13,FALSE)</f>
        <v>Réalisation de consultations avancées</v>
      </c>
    </row>
    <row r="43" spans="2:14" ht="86.45" customHeight="1">
      <c r="B43" s="196">
        <v>62</v>
      </c>
      <c r="C43" s="156" t="str">
        <f>VLOOKUP(Tableau2[[#This Row],[Colonne1]],Tableau124[#All],2,FALSE)</f>
        <v>Doubs (25)</v>
      </c>
      <c r="D43" s="156" t="str">
        <f>VLOOKUP(Tableau2[[#This Row],[Colonne1]],Tableau124[#All],3,FALSE)</f>
        <v>Chalezeule</v>
      </c>
      <c r="E43" s="156">
        <f>VLOOKUP(Tableau2[[#This Row],[Colonne1]],Tableau124[#All],4,FALSE)</f>
        <v>25220</v>
      </c>
      <c r="F43" s="156" t="str">
        <f>VLOOKUP(Tableau2[[#This Row],[Colonne1]],Tableau124[#All],5,FALSE)</f>
        <v>CHRS Javel, 2 grande rue</v>
      </c>
      <c r="G43" s="156" t="str">
        <f>VLOOKUP(Tableau2[[#This Row],[Colonne1]],Tableau124[#All],6,FALSE)</f>
        <v>CSAPA (consultations avancées)</v>
      </c>
      <c r="H43" s="156" t="str">
        <f>VLOOKUP(Tableau2[[#This Row],[Colonne1]],Tableau124[#All],7,FALSE)</f>
        <v>CSAPA de Besançon - Association Addictions France - consultations avancées</v>
      </c>
      <c r="I43" s="156" t="str">
        <f>VLOOKUP(Tableau2[[#This Row],[Colonne1]],Tableau124[#All],8,FALSE)</f>
        <v>Associatif</v>
      </c>
      <c r="J43" s="322" t="str">
        <f>VLOOKUP(Tableau2[[#This Row],[Colonne1]],Tableau124[#All],9,FALSE)</f>
        <v>csapa.besancon@addictions-france.org</v>
      </c>
      <c r="K43" s="243" t="str">
        <f>VLOOKUP(Tableau2[[#This Row],[Colonne1]],Tableau124[#All],10,FALSE)</f>
        <v>03.81.83.22.78</v>
      </c>
      <c r="L43" s="322" t="str">
        <f>VLOOKUP(Tableau2[[#This Row],[Colonne1]],Tableau124[#All],11,FALSE)</f>
        <v>www.addictions-france.org</v>
      </c>
      <c r="M43" s="156" t="str">
        <f>VLOOKUP(Tableau2[[#This Row],[Colonne1]],Tableau124[#All],12,FALSE)</f>
        <v>Jeudi de 16h30 à 18h30</v>
      </c>
      <c r="N43" s="156" t="str">
        <f>VLOOKUP(Tableau2[[#This Row],[Colonne1]],Tableau124[#All],13,FALSE)</f>
        <v>Réalisation de consultations avancées</v>
      </c>
    </row>
    <row r="44" spans="2:14" ht="86.45" customHeight="1">
      <c r="B44" s="196">
        <v>165</v>
      </c>
      <c r="C44" s="203" t="str">
        <f>VLOOKUP(Tableau2[[#This Row],[Colonne1]],Tableau124[#All],2,FALSE)</f>
        <v>Saône-et-Loire (71)</v>
      </c>
      <c r="D44" s="203" t="str">
        <f>VLOOKUP(Tableau2[[#This Row],[Colonne1]],Tableau124[#All],3,FALSE)</f>
        <v>Châlon-sur-Saône</v>
      </c>
      <c r="E44" s="203" t="str">
        <f>VLOOKUP(Tableau2[[#This Row],[Colonne1]],Tableau124[#All],4,FALSE)</f>
        <v>71100</v>
      </c>
      <c r="F44" s="203" t="str">
        <f>VLOOKUP(Tableau2[[#This Row],[Colonne1]],Tableau124[#All],5,FALSE)</f>
        <v>41 Av. Boucicaut</v>
      </c>
      <c r="G44" s="203" t="str">
        <f>VLOOKUP(Tableau2[[#This Row],[Colonne1]],Tableau124[#All],6,FALSE)</f>
        <v>CAARUD</v>
      </c>
      <c r="H44" s="203" t="str">
        <f>VLOOKUP(Tableau2[[#This Row],[Colonne1]],Tableau124[#All],7,FALSE)</f>
        <v>CAARUD 16 Kay - Sauvegarde 71</v>
      </c>
      <c r="I44" s="203" t="str">
        <f>VLOOKUP(Tableau2[[#This Row],[Colonne1]],Tableau124[#All],8,FALSE)</f>
        <v>Associatif</v>
      </c>
      <c r="J44" s="359" t="str">
        <f>VLOOKUP(Tableau2[[#This Row],[Colonne1]],Tableau124[#All],9,FALSE)</f>
        <v>caarud16kay@sauvegarde71.fr</v>
      </c>
      <c r="K44" s="240" t="str">
        <f>VLOOKUP(Tableau2[[#This Row],[Colonne1]],Tableau124[#All],10,FALSE)</f>
        <v>0954654665</v>
      </c>
      <c r="L44" s="359" t="str">
        <f>VLOOKUP(Tableau2[[#This Row],[Colonne1]],Tableau124[#All],11,FALSE)</f>
        <v>www.sauvegarde71.fr</v>
      </c>
      <c r="M44" s="204" t="str">
        <f>VLOOKUP(Tableau2[[#This Row],[Colonne1]],Tableau124[#All],12,FALSE)</f>
        <v>lundi = 13h30-17h30
jeudi = 14h-19h
vendredi 11h-15h30</v>
      </c>
      <c r="N44" s="282" t="str">
        <f>VLOOKUP(Tableau2[[#This Row],[Colonne1]],Tableau124[#All],13,FALSE)</f>
        <v xml:space="preserve">- unité mobile pouvant servir de lieu d'accueil (déplacement sur tout le département de Saône et Loire) ; 
- programme d'échange de seringues ;
- intervention en maraude ; 
- intervention en milieu festif. </v>
      </c>
    </row>
    <row r="45" spans="2:14" ht="86.45" customHeight="1">
      <c r="B45" s="196">
        <v>167</v>
      </c>
      <c r="C45" s="111" t="str">
        <f>VLOOKUP(Tableau2[[#This Row],[Colonne1]],Tableau124[#All],2,FALSE)</f>
        <v>Saône-et-Loire (71)</v>
      </c>
      <c r="D45" s="111" t="str">
        <f>VLOOKUP(Tableau2[[#This Row],[Colonne1]],Tableau124[#All],3,FALSE)</f>
        <v>Châlon-sur-Saône</v>
      </c>
      <c r="E45" s="111" t="str">
        <f>VLOOKUP(Tableau2[[#This Row],[Colonne1]],Tableau124[#All],4,FALSE)</f>
        <v>71100</v>
      </c>
      <c r="F45" s="111" t="str">
        <f>VLOOKUP(Tableau2[[#This Row],[Colonne1]],Tableau124[#All],5,FALSE)</f>
        <v>ADDICTOLOGIE
Centre Hospitalier Chalon sur Saône William Morey 
4, rue Capitaine Drillien - CS80120</v>
      </c>
      <c r="G45" s="111" t="str">
        <f>VLOOKUP(Tableau2[[#This Row],[Colonne1]],Tableau124[#All],6,FALSE)</f>
        <v>Consultations Hospitalières externes d'addictologie</v>
      </c>
      <c r="H45" s="111" t="str">
        <f>VLOOKUP(Tableau2[[#This Row],[Colonne1]],Tableau124[#All],7,FALSE)</f>
        <v>Centre Hospitalier Chalon-sur-Saône</v>
      </c>
      <c r="I45" s="111" t="str">
        <f>VLOOKUP(Tableau2[[#This Row],[Colonne1]],Tableau124[#All],8,FALSE)</f>
        <v>Public</v>
      </c>
      <c r="J45" s="311" t="str">
        <f>VLOOKUP(Tableau2[[#This Row],[Colonne1]],Tableau124[#All],9,FALSE)</f>
        <v>Secretariat.urgences@ch-chalon71.fr</v>
      </c>
      <c r="K45" s="239" t="str">
        <f>VLOOKUP(Tableau2[[#This Row],[Colonne1]],Tableau124[#All],10,FALSE)</f>
        <v>03.85.91.00.85</v>
      </c>
      <c r="L45" s="324" t="str">
        <f>VLOOKUP(Tableau2[[#This Row],[Colonne1]],Tableau124[#All],11,FALSE)</f>
        <v xml:space="preserve"> </v>
      </c>
      <c r="M45" s="129" t="str">
        <f>VLOOKUP(Tableau2[[#This Row],[Colonne1]],Tableau124[#All],12,FALSE)</f>
        <v>9 h -12h et 14h 17h
Du lundi au vendredi</v>
      </c>
      <c r="N45" s="129" t="str">
        <f>VLOOKUP(Tableau2[[#This Row],[Colonne1]],Tableau124[#All],13,FALSE)</f>
        <v>Intervention auprès de public majeurs et mineurs</v>
      </c>
    </row>
    <row r="46" spans="2:14" ht="86.45" customHeight="1">
      <c r="B46" s="196">
        <v>168</v>
      </c>
      <c r="C46" s="156" t="str">
        <f>VLOOKUP(Tableau2[[#This Row],[Colonne1]],Tableau124[#All],2,FALSE)</f>
        <v>Saône-et-Loire (71)</v>
      </c>
      <c r="D46" s="156" t="str">
        <f>VLOOKUP(Tableau2[[#This Row],[Colonne1]],Tableau124[#All],3,FALSE)</f>
        <v>Châlon-sur-Saône</v>
      </c>
      <c r="E46" s="156" t="str">
        <f>VLOOKUP(Tableau2[[#This Row],[Colonne1]],Tableau124[#All],4,FALSE)</f>
        <v>71100</v>
      </c>
      <c r="F46" s="156" t="str">
        <f>VLOOKUP(Tableau2[[#This Row],[Colonne1]],Tableau124[#All],5,FALSE)</f>
        <v>1 Av. Georges Pompidou</v>
      </c>
      <c r="G46" s="156" t="str">
        <f>VLOOKUP(Tableau2[[#This Row],[Colonne1]],Tableau124[#All],6,FALSE)</f>
        <v>CSAPA</v>
      </c>
      <c r="H46" s="156" t="str">
        <f>VLOOKUP(Tableau2[[#This Row],[Colonne1]],Tableau124[#All],7,FALSE)</f>
        <v>CSAPA KAIRN71 - SAUVEGARDE71</v>
      </c>
      <c r="I46" s="156" t="str">
        <f>VLOOKUP(Tableau2[[#This Row],[Colonne1]],Tableau124[#All],8,FALSE)</f>
        <v>Associatif</v>
      </c>
      <c r="J46" s="496" t="str">
        <f>VLOOKUP(Tableau2[[#This Row],[Colonne1]],Tableau124[#All],9,FALSE)</f>
        <v>kairn71@sauvegarde71.fr</v>
      </c>
      <c r="K46" s="482" t="str">
        <f>VLOOKUP(Tableau2[[#This Row],[Colonne1]],Tableau124[#All],10,FALSE)</f>
        <v>0385909060</v>
      </c>
      <c r="L46" s="496" t="str">
        <f>VLOOKUP(Tableau2[[#This Row],[Colonne1]],Tableau124[#All],11,FALSE)</f>
        <v>www.sauvegarde71.fr</v>
      </c>
      <c r="M46" s="199" t="str">
        <f>VLOOKUP(Tableau2[[#This Row],[Colonne1]],Tableau124[#All],12,FALSE)</f>
        <v>lundi = 9h-12h30 / 14h-18h
mardi = 11h-12h30 / 15h30-18h
mercredi = 9h-12h / 14h-18h
jeudi = 9h-12h30 / 14h-18h
vendredi = 9h-12h30 / 14h-17h</v>
      </c>
      <c r="N46" s="492" t="str">
        <f>VLOOKUP(Tableau2[[#This Row],[Colonne1]],Tableau124[#All],13,FALSE)</f>
        <v>- Réalisation de consultations avancées sur Chagny, Chalon-sur-Saône, Louhans, Saint Marcel ;
- dispositifs de soins résidentiels sous forme d'appartement thérapeutiques sur Chalon-sur-Saône (15 rue Philibert GUIDE 71100 Chalon-sur-Saône) ;
- intervention en milieu festif ;
- intervention en milieu pénitentiaire au Centre pénitentiaire de Varennes le Grand ;
- mise à disposition de matériel de consommation à moindre risque ;
- proposition de test rapide d'orientation diagnostic (TROD) ; 
- dispositifs anti-overdose à disposition ; 
- présence d'une CJC.</v>
      </c>
    </row>
    <row r="47" spans="2:14" ht="86.45" customHeight="1">
      <c r="B47" s="196">
        <v>166</v>
      </c>
      <c r="C47" s="508" t="str">
        <f>VLOOKUP(Tableau2[[#This Row],[Colonne1]],Tableau124[#All],2,FALSE)</f>
        <v>Saône-et-Loire (71)</v>
      </c>
      <c r="D47" s="508" t="str">
        <f>VLOOKUP(Tableau2[[#This Row],[Colonne1]],Tableau124[#All],3,FALSE)</f>
        <v>Châlon-sur-Saône</v>
      </c>
      <c r="E47" s="508" t="str">
        <f>VLOOKUP(Tableau2[[#This Row],[Colonne1]],Tableau124[#All],4,FALSE)</f>
        <v>71100</v>
      </c>
      <c r="F47" s="508" t="str">
        <f>VLOOKUP(Tableau2[[#This Row],[Colonne1]],Tableau124[#All],5,FALSE)</f>
        <v>1 Av. Georges Pompidou</v>
      </c>
      <c r="G47" s="508" t="str">
        <f>VLOOKUP(Tableau2[[#This Row],[Colonne1]],Tableau124[#All],6,FALSE)</f>
        <v>CJC</v>
      </c>
      <c r="H47" s="508" t="str">
        <f>VLOOKUP(Tableau2[[#This Row],[Colonne1]],Tableau124[#All],7,FALSE)</f>
        <v>CSAPA KAIRN71 - SAUVEGARDE71</v>
      </c>
      <c r="I47" s="508" t="str">
        <f>VLOOKUP(Tableau2[[#This Row],[Colonne1]],Tableau124[#All],8,FALSE)</f>
        <v>Associatif</v>
      </c>
      <c r="J47" s="522" t="str">
        <f>VLOOKUP(Tableau2[[#This Row],[Colonne1]],Tableau124[#All],9,FALSE)</f>
        <v>kairn71@sauvegarde71.fr</v>
      </c>
      <c r="K47" s="509" t="str">
        <f>VLOOKUP(Tableau2[[#This Row],[Colonne1]],Tableau124[#All],10,FALSE)</f>
        <v>0385909060</v>
      </c>
      <c r="L47" s="522" t="str">
        <f>VLOOKUP(Tableau2[[#This Row],[Colonne1]],Tableau124[#All],11,FALSE)</f>
        <v>www.sauvegarde71.fr</v>
      </c>
      <c r="M47" s="523" t="str">
        <f>VLOOKUP(Tableau2[[#This Row],[Colonne1]],Tableau124[#All],12,FALSE)</f>
        <v>Mercredi de 14h à 19h</v>
      </c>
      <c r="N47" s="524" t="str">
        <f>VLOOKUP(Tableau2[[#This Row],[Colonne1]],Tableau124[#All],13,FALSE)</f>
        <v xml:space="preserve">- Accueil des familles ; 
- Orientation sur rendez-vous ;
- CJC accessible à la famille et l'entourage ; 
- locaux identiques à ceux du CSAPA. </v>
      </c>
    </row>
    <row r="48" spans="2:14" ht="86.45" customHeight="1">
      <c r="B48" s="196">
        <v>119</v>
      </c>
      <c r="C48" s="156" t="str">
        <f>VLOOKUP(Tableau2[[#This Row],[Colonne1]],Tableau124[#All],2,FALSE)</f>
        <v>Jura (39)</v>
      </c>
      <c r="D48" s="156" t="str">
        <f>VLOOKUP(Tableau2[[#This Row],[Colonne1]],Tableau124[#All],3,FALSE)</f>
        <v>Champagnole</v>
      </c>
      <c r="E48" s="156">
        <f>VLOOKUP(Tableau2[[#This Row],[Colonne1]],Tableau124[#All],4,FALSE)</f>
        <v>39300</v>
      </c>
      <c r="F48" s="156" t="str">
        <f>VLOOKUP(Tableau2[[#This Row],[Colonne1]],Tableau124[#All],5,FALSE)</f>
        <v>Cité javel, rue Casimir Blondeau</v>
      </c>
      <c r="G48" s="156" t="str">
        <f>VLOOKUP(Tableau2[[#This Row],[Colonne1]],Tableau124[#All],6,FALSE)</f>
        <v>Antenne CSAPA</v>
      </c>
      <c r="H48" s="156" t="str">
        <f>VLOOKUP(Tableau2[[#This Row],[Colonne1]],Tableau124[#All],7,FALSE)</f>
        <v>CSAPA de l'ADLCA</v>
      </c>
      <c r="I48" s="156" t="str">
        <f>VLOOKUP(Tableau2[[#This Row],[Colonne1]],Tableau124[#All],8,FALSE)</f>
        <v>Associatif</v>
      </c>
      <c r="J48" s="496" t="str">
        <f>VLOOKUP(Tableau2[[#This Row],[Colonne1]],Tableau124[#All],9,FALSE)</f>
        <v>champagnole@csapa-adlca.fr</v>
      </c>
      <c r="K48" s="482" t="str">
        <f>VLOOKUP(Tableau2[[#This Row],[Colonne1]],Tableau124[#All],10,FALSE)</f>
        <v>0970501350</v>
      </c>
      <c r="L48" s="502" t="str">
        <f>VLOOKUP(Tableau2[[#This Row],[Colonne1]],Tableau124[#All],11,FALSE)</f>
        <v xml:space="preserve"> </v>
      </c>
      <c r="M48" s="199" t="str">
        <f>VLOOKUP(Tableau2[[#This Row],[Colonne1]],Tableau124[#All],12,FALSE)</f>
        <v>lundi au vendredi, 9h-17h30</v>
      </c>
      <c r="N48" s="198" t="str">
        <f>VLOOKUP(Tableau2[[#This Row],[Colonne1]],Tableau124[#All],13,FALSE)</f>
        <v xml:space="preserve">  </v>
      </c>
    </row>
    <row r="49" spans="2:14" ht="86.45" customHeight="1">
      <c r="B49" s="196">
        <v>143</v>
      </c>
      <c r="C49" s="652" t="str">
        <f>VLOOKUP(Tableau2[[#This Row],[Colonne1]],Tableau124[#All],2,FALSE)</f>
        <v>Nièvre (58)</v>
      </c>
      <c r="D49" s="507" t="str">
        <f>VLOOKUP(Tableau2[[#This Row],[Colonne1]],Tableau124[#All],3,FALSE)</f>
        <v>Château-Chinon</v>
      </c>
      <c r="E49" s="507">
        <f>VLOOKUP(Tableau2[[#This Row],[Colonne1]],Tableau124[#All],4,FALSE)</f>
        <v>58120</v>
      </c>
      <c r="F49" s="508" t="str">
        <f>VLOOKUP(Tableau2[[#This Row],[Colonne1]],Tableau124[#All],5,FALSE)</f>
        <v>Maison Médicale, 38 rue Jean Marie Thévenin</v>
      </c>
      <c r="G49" s="508" t="str">
        <f>VLOOKUP(Tableau2[[#This Row],[Colonne1]],Tableau124[#All],6,FALSE)</f>
        <v>CJC</v>
      </c>
      <c r="H49" s="507" t="str">
        <f>VLOOKUP(Tableau2[[#This Row],[Colonne1]],Tableau124[#All],7,FALSE)</f>
        <v>CSAPA - Association Addictions France</v>
      </c>
      <c r="I49" s="508" t="str">
        <f>VLOOKUP(Tableau2[[#This Row],[Colonne1]],Tableau124[#All],8,FALSE)</f>
        <v>Associatif</v>
      </c>
      <c r="J49" s="522" t="str">
        <f>VLOOKUP(Tableau2[[#This Row],[Colonne1]],Tableau124[#All],9,FALSE)</f>
        <v>BFC58@Addictions-france.org</v>
      </c>
      <c r="K49" s="509" t="str">
        <f>VLOOKUP(Tableau2[[#This Row],[Colonne1]],Tableau124[#All],10,FALSE)</f>
        <v>04 86 61 56 89</v>
      </c>
      <c r="L49" s="642" t="str">
        <f>VLOOKUP(Tableau2[[#This Row],[Colonne1]],Tableau124[#All],11,FALSE)</f>
        <v xml:space="preserve"> </v>
      </c>
      <c r="M49" s="523" t="str">
        <f>VLOOKUP(Tableau2[[#This Row],[Colonne1]],Tableau124[#All],12,FALSE)</f>
        <v>Tous les mercredis de 8h30 à 12h30 et de 13h30 à 17h30</v>
      </c>
      <c r="N49" s="516" t="str">
        <f>VLOOKUP(Tableau2[[#This Row],[Colonne1]],Tableau124[#All],13,FALSE)</f>
        <v xml:space="preserve">- Accueil des familles ; 
- Orientation sur rendez-vous ;
- CJC accessible à la famille et l'entourage ; 
- locaux identiques à ceux du CSAPA. </v>
      </c>
    </row>
    <row r="50" spans="2:14" ht="86.45" customHeight="1">
      <c r="B50" s="196">
        <v>12</v>
      </c>
      <c r="C50" s="479" t="str">
        <f>VLOOKUP(Tableau2[[#This Row],[Colonne1]],Tableau124[#All],2,FALSE)</f>
        <v>Côte-d’Or (21)</v>
      </c>
      <c r="D50" s="479" t="str">
        <f>VLOOKUP(Tableau2[[#This Row],[Colonne1]],Tableau124[#All],3,FALSE)</f>
        <v>Châtillon-Sur-Seine</v>
      </c>
      <c r="E50" s="479">
        <f>VLOOKUP(Tableau2[[#This Row],[Colonne1]],Tableau124[#All],4,FALSE)</f>
        <v>21400</v>
      </c>
      <c r="F50" s="156" t="str">
        <f>VLOOKUP(Tableau2[[#This Row],[Colonne1]],Tableau124[#All],5,FALSE)</f>
        <v>Centre hospitalier, centre de périnatalité, 2 Rue Claude Petiet, 21400 Châtillon sur Seine</v>
      </c>
      <c r="G50" s="479" t="str">
        <f>VLOOKUP(Tableau2[[#This Row],[Colonne1]],Tableau124[#All],6,FALSE)</f>
        <v>CSAPA (consultations avancées)</v>
      </c>
      <c r="H50" s="479" t="str">
        <f>VLOOKUP(Tableau2[[#This Row],[Colonne1]],Tableau124[#All],7,FALSE)</f>
        <v>Association Addictions France</v>
      </c>
      <c r="I50" s="479" t="str">
        <f>VLOOKUP(Tableau2[[#This Row],[Colonne1]],Tableau124[#All],8,FALSE)</f>
        <v>Associatif</v>
      </c>
      <c r="J50" s="500" t="str">
        <f>VLOOKUP(Tableau2[[#This Row],[Colonne1]],Tableau124[#All],9,FALSE)</f>
        <v>csapa.chatillon@addictions-france.org</v>
      </c>
      <c r="K50" s="482" t="str">
        <f>VLOOKUP(Tableau2[[#This Row],[Colonne1]],Tableau124[#All],10,FALSE)</f>
        <v>03 80 73 26 32</v>
      </c>
      <c r="L50" s="318" t="str">
        <f>VLOOKUP(Tableau2[[#This Row],[Colonne1]],Tableau124[#All],11,FALSE)</f>
        <v>www.addictions-france.org</v>
      </c>
      <c r="M50" s="101" t="str">
        <f>VLOOKUP(Tableau2[[#This Row],[Colonne1]],Tableau124[#All],12,FALSE)</f>
        <v xml:space="preserve">Mardi : 10h-12h - 12h30-16h </v>
      </c>
      <c r="N50" s="649" t="str">
        <f>VLOOKUP(Tableau2[[#This Row],[Colonne1]],Tableau124[#All],13,FALSE)</f>
        <v xml:space="preserve">   </v>
      </c>
    </row>
    <row r="51" spans="2:14" ht="86.45" customHeight="1">
      <c r="B51" s="196">
        <v>13</v>
      </c>
      <c r="C51" s="156" t="str">
        <f>VLOOKUP(Tableau2[[#This Row],[Colonne1]],Tableau124[#All],2,FALSE)</f>
        <v>Côte-d’Or (21)</v>
      </c>
      <c r="D51" s="156" t="str">
        <f>VLOOKUP(Tableau2[[#This Row],[Colonne1]],Tableau124[#All],3,FALSE)</f>
        <v>Châtillon-Sur-Seine</v>
      </c>
      <c r="E51" s="156">
        <f>VLOOKUP(Tableau2[[#This Row],[Colonne1]],Tableau124[#All],4,FALSE)</f>
        <v>21400</v>
      </c>
      <c r="F51" s="156" t="str">
        <f>VLOOKUP(Tableau2[[#This Row],[Colonne1]],Tableau124[#All],5,FALSE)</f>
        <v>CH, 2 rue Claude Petiet</v>
      </c>
      <c r="G51" s="156" t="str">
        <f>VLOOKUP(Tableau2[[#This Row],[Colonne1]],Tableau124[#All],6,FALSE)</f>
        <v>CSAPA (consultations avancées)</v>
      </c>
      <c r="H51" s="156" t="str">
        <f>VLOOKUP(Tableau2[[#This Row],[Colonne1]],Tableau124[#All],7,FALSE)</f>
        <v>Association Addictions France 21 - consultations avancées</v>
      </c>
      <c r="I51" s="156" t="str">
        <f>VLOOKUP(Tableau2[[#This Row],[Colonne1]],Tableau124[#All],8,FALSE)</f>
        <v>Associatif</v>
      </c>
      <c r="J51" s="318" t="str">
        <f>VLOOKUP(Tableau2[[#This Row],[Colonne1]],Tableau124[#All],9,FALSE)</f>
        <v>bfc21@addictions-france.org</v>
      </c>
      <c r="K51" s="238" t="str">
        <f>VLOOKUP(Tableau2[[#This Row],[Colonne1]],Tableau124[#All],10,FALSE)</f>
        <v>04 80 73 16 46</v>
      </c>
      <c r="L51" s="324" t="str">
        <f>VLOOKUP(Tableau2[[#This Row],[Colonne1]],Tableau124[#All],11,FALSE)</f>
        <v xml:space="preserve"> </v>
      </c>
      <c r="M51" s="101" t="str">
        <f>VLOOKUP(Tableau2[[#This Row],[Colonne1]],Tableau124[#All],12,FALSE)</f>
        <v>Mardi : 9h-12h30 / 13h-17h (sauf le 1er mardi du mois)</v>
      </c>
      <c r="N51" s="487" t="str">
        <f>VLOOKUP(Tableau2[[#This Row],[Colonne1]],Tableau124[#All],13,FALSE)</f>
        <v>Réalisation de consultations avancées</v>
      </c>
    </row>
    <row r="52" spans="2:14" ht="86.45" customHeight="1">
      <c r="B52" s="196">
        <v>14</v>
      </c>
      <c r="C52" s="156" t="str">
        <f>VLOOKUP(Tableau2[[#This Row],[Colonne1]],Tableau124[#All],2,FALSE)</f>
        <v>Côte-d’Or (21)</v>
      </c>
      <c r="D52" s="156" t="str">
        <f>VLOOKUP(Tableau2[[#This Row],[Colonne1]],Tableau124[#All],3,FALSE)</f>
        <v>Châtillon-Sur-Seine</v>
      </c>
      <c r="E52" s="156">
        <f>VLOOKUP(Tableau2[[#This Row],[Colonne1]],Tableau124[#All],4,FALSE)</f>
        <v>21400</v>
      </c>
      <c r="F52" s="156" t="str">
        <f>VLOOKUP(Tableau2[[#This Row],[Colonne1]],Tableau124[#All],5,FALSE)</f>
        <v>Centre de périnatalité de proximité, 2 Rue Claude Petiet</v>
      </c>
      <c r="G52" s="156" t="str">
        <f>VLOOKUP(Tableau2[[#This Row],[Colonne1]],Tableau124[#All],6,FALSE)</f>
        <v>CSAPA (consultations avancées)</v>
      </c>
      <c r="H52" s="156" t="str">
        <f>VLOOKUP(Tableau2[[#This Row],[Colonne1]],Tableau124[#All],7,FALSE)</f>
        <v>CSAPA - Association Addictions France - consultations avancées - Centre de Périnatalité de Proximité de Châtillon sur Seine</v>
      </c>
      <c r="I52" s="156" t="str">
        <f>VLOOKUP(Tableau2[[#This Row],[Colonne1]],Tableau124[#All],8,FALSE)</f>
        <v>Associatif</v>
      </c>
      <c r="J52" s="318" t="str">
        <f>VLOOKUP(Tableau2[[#This Row],[Colonne1]],Tableau124[#All],9,FALSE)</f>
        <v>bfc21@addictions-france.org</v>
      </c>
      <c r="K52" s="238" t="str">
        <f>VLOOKUP(Tableau2[[#This Row],[Colonne1]],Tableau124[#All],10,FALSE)</f>
        <v>03.80.81.73.61</v>
      </c>
      <c r="L52" s="318" t="str">
        <f>VLOOKUP(Tableau2[[#This Row],[Colonne1]],Tableau124[#All],11,FALSE)</f>
        <v>www.addictions-france.org</v>
      </c>
      <c r="M52" s="101" t="str">
        <f>VLOOKUP(Tableau2[[#This Row],[Colonne1]],Tableau124[#All],12,FALSE)</f>
        <v>Du lundi au vendredi de 9h00 à 17h00</v>
      </c>
      <c r="N52" s="101" t="str">
        <f>VLOOKUP(Tableau2[[#This Row],[Colonne1]],Tableau124[#All],13,FALSE)</f>
        <v>Réalisation de consultations avancées</v>
      </c>
    </row>
    <row r="53" spans="2:14" ht="86.45" customHeight="1">
      <c r="B53" s="196">
        <v>8</v>
      </c>
      <c r="C53" s="156" t="str">
        <f>VLOOKUP(Tableau2[[#This Row],[Colonne1]],Tableau124[#All],2,FALSE)</f>
        <v>Côte-d’Or (21)</v>
      </c>
      <c r="D53" s="156" t="str">
        <f>VLOOKUP(Tableau2[[#This Row],[Colonne1]],Tableau124[#All],3,FALSE)</f>
        <v>Châtillon-Sur-Seine</v>
      </c>
      <c r="E53" s="156">
        <f>VLOOKUP(Tableau2[[#This Row],[Colonne1]],Tableau124[#All],4,FALSE)</f>
        <v>21400</v>
      </c>
      <c r="F53" s="156" t="str">
        <f>VLOOKUP(Tableau2[[#This Row],[Colonne1]],Tableau124[#All],5,FALSE)</f>
        <v>Maison de santé- rue Claude Petiet 21400 Châtillon sur Seine</v>
      </c>
      <c r="G53" s="156" t="str">
        <f>VLOOKUP(Tableau2[[#This Row],[Colonne1]],Tableau124[#All],6,FALSE)</f>
        <v>Antenne CSAPA</v>
      </c>
      <c r="H53" s="156" t="str">
        <f>VLOOKUP(Tableau2[[#This Row],[Colonne1]],Tableau124[#All],7,FALSE)</f>
        <v>Association Addictions France 21</v>
      </c>
      <c r="I53" s="156" t="str">
        <f>VLOOKUP(Tableau2[[#This Row],[Colonne1]],Tableau124[#All],8,FALSE)</f>
        <v>Associatif</v>
      </c>
      <c r="J53" s="318" t="str">
        <f>VLOOKUP(Tableau2[[#This Row],[Colonne1]],Tableau124[#All],9,FALSE)</f>
        <v>csapa.chatillon@addictions-france.org</v>
      </c>
      <c r="K53" s="238" t="str">
        <f>VLOOKUP(Tableau2[[#This Row],[Colonne1]],Tableau124[#All],10,FALSE)</f>
        <v>03 80 73 26 32</v>
      </c>
      <c r="L53" s="318" t="str">
        <f>VLOOKUP(Tableau2[[#This Row],[Colonne1]],Tableau124[#All],11,FALSE)</f>
        <v>www.addictions-france.org</v>
      </c>
      <c r="M53" s="101" t="str">
        <f>VLOOKUP(Tableau2[[#This Row],[Colonne1]],Tableau124[#All],12,FALSE)</f>
        <v>Mardi, mercredi, jeudi : 10h - 16h</v>
      </c>
      <c r="N53" s="258" t="str">
        <f>VLOOKUP(Tableau2[[#This Row],[Colonne1]],Tableau124[#All],13,FALSE)</f>
        <v xml:space="preserve">  </v>
      </c>
    </row>
    <row r="54" spans="2:14" ht="86.45" customHeight="1">
      <c r="B54" s="196">
        <v>9</v>
      </c>
      <c r="C54" s="508" t="str">
        <f>VLOOKUP(Tableau2[[#This Row],[Colonne1]],Tableau124[#All],2,FALSE)</f>
        <v>Côte-d’Or (21)</v>
      </c>
      <c r="D54" s="508" t="str">
        <f>VLOOKUP(Tableau2[[#This Row],[Colonne1]],Tableau124[#All],3,FALSE)</f>
        <v>Châtillon-Sur-Seine</v>
      </c>
      <c r="E54" s="508">
        <f>VLOOKUP(Tableau2[[#This Row],[Colonne1]],Tableau124[#All],4,FALSE)</f>
        <v>21400</v>
      </c>
      <c r="F54" s="508" t="str">
        <f>VLOOKUP(Tableau2[[#This Row],[Colonne1]],Tableau124[#All],5,FALSE)</f>
        <v>Lycée Désiré Nisard,19 rue de Seine 21400 Châtillon sur Seine</v>
      </c>
      <c r="G54" s="508" t="str">
        <f>VLOOKUP(Tableau2[[#This Row],[Colonne1]],Tableau124[#All],6,FALSE)</f>
        <v>CJC</v>
      </c>
      <c r="H54" s="508" t="str">
        <f>VLOOKUP(Tableau2[[#This Row],[Colonne1]],Tableau124[#All],7,FALSE)</f>
        <v>Association Addictions France 21</v>
      </c>
      <c r="I54" s="508" t="str">
        <f>VLOOKUP(Tableau2[[#This Row],[Colonne1]],Tableau124[#All],8,FALSE)</f>
        <v>Associatif</v>
      </c>
      <c r="J54" s="513" t="str">
        <f>VLOOKUP(Tableau2[[#This Row],[Colonne1]],Tableau124[#All],9,FALSE)</f>
        <v>csapa.chatillon@addictions-france.org</v>
      </c>
      <c r="K54" s="514" t="str">
        <f>VLOOKUP(Tableau2[[#This Row],[Colonne1]],Tableau124[#All],10,FALSE)</f>
        <v>03 80 73 26 32</v>
      </c>
      <c r="L54" s="515" t="str">
        <f>VLOOKUP(Tableau2[[#This Row],[Colonne1]],Tableau124[#All],11,FALSE)</f>
        <v>www.addictions-france.org</v>
      </c>
      <c r="M54" s="508" t="str">
        <f>VLOOKUP(Tableau2[[#This Row],[Colonne1]],Tableau124[#All],12,FALSE)</f>
        <v>Mardi : 10h 12h - 12h30 14h30</v>
      </c>
      <c r="N54" s="659" t="str">
        <f>VLOOKUP(Tableau2[[#This Row],[Colonne1]],Tableau124[#All],13,FALSE)</f>
        <v xml:space="preserve">  </v>
      </c>
    </row>
    <row r="55" spans="2:14" ht="86.45" customHeight="1">
      <c r="B55" s="196">
        <v>10</v>
      </c>
      <c r="C55" s="508" t="str">
        <f>VLOOKUP(Tableau2[[#This Row],[Colonne1]],Tableau124[#All],2,FALSE)</f>
        <v>Côte-d’Or (21)</v>
      </c>
      <c r="D55" s="508" t="str">
        <f>VLOOKUP(Tableau2[[#This Row],[Colonne1]],Tableau124[#All],3,FALSE)</f>
        <v>Châtillon-Sur-Seine</v>
      </c>
      <c r="E55" s="508">
        <f>VLOOKUP(Tableau2[[#This Row],[Colonne1]],Tableau124[#All],4,FALSE)</f>
        <v>21400</v>
      </c>
      <c r="F55" s="508" t="str">
        <f>VLOOKUP(Tableau2[[#This Row],[Colonne1]],Tableau124[#All],5,FALSE)</f>
        <v>Lycée La Barotte, route de Langres 21400 Châtillon sur Seine</v>
      </c>
      <c r="G55" s="508" t="str">
        <f>VLOOKUP(Tableau2[[#This Row],[Colonne1]],Tableau124[#All],6,FALSE)</f>
        <v>CJC</v>
      </c>
      <c r="H55" s="508" t="str">
        <f>VLOOKUP(Tableau2[[#This Row],[Colonne1]],Tableau124[#All],7,FALSE)</f>
        <v>Association Addictions France 21</v>
      </c>
      <c r="I55" s="508" t="str">
        <f>VLOOKUP(Tableau2[[#This Row],[Colonne1]],Tableau124[#All],8,FALSE)</f>
        <v>Associatif</v>
      </c>
      <c r="J55" s="513" t="str">
        <f>VLOOKUP(Tableau2[[#This Row],[Colonne1]],Tableau124[#All],9,FALSE)</f>
        <v>csapa.chatillon@addictions-france.org</v>
      </c>
      <c r="K55" s="514" t="str">
        <f>VLOOKUP(Tableau2[[#This Row],[Colonne1]],Tableau124[#All],10,FALSE)</f>
        <v>03 80 73 26 32</v>
      </c>
      <c r="L55" s="515" t="str">
        <f>VLOOKUP(Tableau2[[#This Row],[Colonne1]],Tableau124[#All],11,FALSE)</f>
        <v>www.addictions-france.org</v>
      </c>
      <c r="M55" s="508" t="str">
        <f>VLOOKUP(Tableau2[[#This Row],[Colonne1]],Tableau124[#All],12,FALSE)</f>
        <v>Mardi : 10h 12h - 12h30 14h30</v>
      </c>
      <c r="N55" s="659" t="str">
        <f>VLOOKUP(Tableau2[[#This Row],[Colonne1]],Tableau124[#All],13,FALSE)</f>
        <v xml:space="preserve">  </v>
      </c>
    </row>
    <row r="56" spans="2:14" ht="86.45" customHeight="1">
      <c r="B56" s="196">
        <v>11</v>
      </c>
      <c r="C56" s="508" t="str">
        <f>VLOOKUP(Tableau2[[#This Row],[Colonne1]],Tableau124[#All],2,FALSE)</f>
        <v>Côte-d’Or (21)</v>
      </c>
      <c r="D56" s="508" t="str">
        <f>VLOOKUP(Tableau2[[#This Row],[Colonne1]],Tableau124[#All],3,FALSE)</f>
        <v>Châtillon-Sur-Seine</v>
      </c>
      <c r="E56" s="508">
        <f>VLOOKUP(Tableau2[[#This Row],[Colonne1]],Tableau124[#All],4,FALSE)</f>
        <v>21400</v>
      </c>
      <c r="F56" s="508" t="str">
        <f>VLOOKUP(Tableau2[[#This Row],[Colonne1]],Tableau124[#All],5,FALSE)</f>
        <v>Maison de santé, rue Claude Petiet 21400 Châtillon sur Seine</v>
      </c>
      <c r="G56" s="508" t="str">
        <f>VLOOKUP(Tableau2[[#This Row],[Colonne1]],Tableau124[#All],6,FALSE)</f>
        <v>CJC</v>
      </c>
      <c r="H56" s="508" t="str">
        <f>VLOOKUP(Tableau2[[#This Row],[Colonne1]],Tableau124[#All],7,FALSE)</f>
        <v>Association Addictions France 21</v>
      </c>
      <c r="I56" s="508" t="str">
        <f>VLOOKUP(Tableau2[[#This Row],[Colonne1]],Tableau124[#All],8,FALSE)</f>
        <v>Associatif</v>
      </c>
      <c r="J56" s="513" t="str">
        <f>VLOOKUP(Tableau2[[#This Row],[Colonne1]],Tableau124[#All],9,FALSE)</f>
        <v>csapa.chatillon@addictions-france.org</v>
      </c>
      <c r="K56" s="514" t="str">
        <f>VLOOKUP(Tableau2[[#This Row],[Colonne1]],Tableau124[#All],10,FALSE)</f>
        <v>03 80 73 26 32</v>
      </c>
      <c r="L56" s="515" t="str">
        <f>VLOOKUP(Tableau2[[#This Row],[Colonne1]],Tableau124[#All],11,FALSE)</f>
        <v>www.addictions-france.org</v>
      </c>
      <c r="M56" s="508" t="str">
        <f>VLOOKUP(Tableau2[[#This Row],[Colonne1]],Tableau124[#All],12,FALSE)</f>
        <v>Mardi : 10h 12h - 12h30 14h30</v>
      </c>
      <c r="N56" s="659" t="str">
        <f>VLOOKUP(Tableau2[[#This Row],[Colonne1]],Tableau124[#All],13,FALSE)</f>
        <v xml:space="preserve">   </v>
      </c>
    </row>
    <row r="57" spans="2:14" ht="86.45" customHeight="1">
      <c r="B57" s="196">
        <v>144</v>
      </c>
      <c r="C57" s="156" t="str">
        <f>VLOOKUP(Tableau2[[#This Row],[Colonne1]],Tableau124[#All],2,FALSE)</f>
        <v>Nièvre (58)</v>
      </c>
      <c r="D57" s="156" t="str">
        <f>VLOOKUP(Tableau2[[#This Row],[Colonne1]],Tableau124[#All],3,FALSE)</f>
        <v>Clamecy</v>
      </c>
      <c r="E57" s="156">
        <f>VLOOKUP(Tableau2[[#This Row],[Colonne1]],Tableau124[#All],4,FALSE)</f>
        <v>58500</v>
      </c>
      <c r="F57" s="156" t="str">
        <f>VLOOKUP(Tableau2[[#This Row],[Colonne1]],Tableau124[#All],5,FALSE)</f>
        <v>Centre de Périnatalité de Proximité de Clamecy, 14 Rte de Beaugy</v>
      </c>
      <c r="G57" s="156" t="str">
        <f>VLOOKUP(Tableau2[[#This Row],[Colonne1]],Tableau124[#All],6,FALSE)</f>
        <v>CSAPA (consultations avancées)</v>
      </c>
      <c r="H57" s="156" t="str">
        <f>VLOOKUP(Tableau2[[#This Row],[Colonne1]],Tableau124[#All],7,FALSE)</f>
        <v>CSAPA - Association Addictions France - consultations avancées - Centre de Périnatalité de Proximité de Clamecy</v>
      </c>
      <c r="I57" s="156" t="str">
        <f>VLOOKUP(Tableau2[[#This Row],[Colonne1]],Tableau124[#All],8,FALSE)</f>
        <v>Associatif</v>
      </c>
      <c r="J57" s="318" t="str">
        <f>VLOOKUP(Tableau2[[#This Row],[Colonne1]],Tableau124[#All],9,FALSE)</f>
        <v>BFC58@Addictions-france.org</v>
      </c>
      <c r="K57" s="238" t="str">
        <f>VLOOKUP(Tableau2[[#This Row],[Colonne1]],Tableau124[#All],10,FALSE)</f>
        <v xml:space="preserve"> 03 86 61 56 89 </v>
      </c>
      <c r="L57" s="318" t="str">
        <f>VLOOKUP(Tableau2[[#This Row],[Colonne1]],Tableau124[#All],11,FALSE)</f>
        <v>www.addictions-france.org</v>
      </c>
      <c r="M57" s="101" t="str">
        <f>VLOOKUP(Tableau2[[#This Row],[Colonne1]],Tableau124[#All],12,FALSE)</f>
        <v>Le lundi, mardi, jeudi de 9h00 à 17h00 ; le mercredi de 9h00 à 18h00 ;le vendredi de 9h00 à 16h30.</v>
      </c>
      <c r="N57" s="101" t="str">
        <f>VLOOKUP(Tableau2[[#This Row],[Colonne1]],Tableau124[#All],13,FALSE)</f>
        <v>Réalisation de consultations avancées</v>
      </c>
    </row>
    <row r="58" spans="2:14" ht="86.45" customHeight="1">
      <c r="B58" s="196">
        <v>145</v>
      </c>
      <c r="C58" s="479" t="str">
        <f>VLOOKUP(Tableau2[[#This Row],[Colonne1]],Tableau124[#All],2,FALSE)</f>
        <v>Nièvre (58)</v>
      </c>
      <c r="D58" s="479" t="str">
        <f>VLOOKUP(Tableau2[[#This Row],[Colonne1]],Tableau124[#All],3,FALSE)</f>
        <v>Cosne-Cours-Sur-Loire</v>
      </c>
      <c r="E58" s="479">
        <f>VLOOKUP(Tableau2[[#This Row],[Colonne1]],Tableau124[#All],4,FALSE)</f>
        <v>58206</v>
      </c>
      <c r="F58" s="156" t="str">
        <f>VLOOKUP(Tableau2[[#This Row],[Colonne1]],Tableau124[#All],5,FALSE)</f>
        <v>Centre Hospitalier de Cosne-Cours-sur-Loire
96, rue Maréchal Leclerc</v>
      </c>
      <c r="G58" s="479" t="str">
        <f>VLOOKUP(Tableau2[[#This Row],[Colonne1]],Tableau124[#All],6,FALSE)</f>
        <v>CSAPA (consultations avancées)</v>
      </c>
      <c r="H58" s="479" t="str">
        <f>VLOOKUP(Tableau2[[#This Row],[Colonne1]],Tableau124[#All],7,FALSE)</f>
        <v xml:space="preserve">CSAPA - Association Addictions France - consultations avancées - Centre de Périnatalité de Proximité de Cosne sur Loire </v>
      </c>
      <c r="I58" s="479" t="str">
        <f>VLOOKUP(Tableau2[[#This Row],[Colonne1]],Tableau124[#All],8,FALSE)</f>
        <v>Associatif</v>
      </c>
      <c r="J58" s="496" t="str">
        <f>VLOOKUP(Tableau2[[#This Row],[Colonne1]],Tableau124[#All],9,FALSE)</f>
        <v>secretaire.cpp@hopital-cosne.fr</v>
      </c>
      <c r="K58" s="482" t="str">
        <f>VLOOKUP(Tableau2[[#This Row],[Colonne1]],Tableau124[#All],10,FALSE)</f>
        <v xml:space="preserve"> 03 86 61 56 89 </v>
      </c>
      <c r="L58" s="496" t="str">
        <f>VLOOKUP(Tableau2[[#This Row],[Colonne1]],Tableau124[#All],11,FALSE)</f>
        <v>www.addictions-france.org</v>
      </c>
      <c r="M58" s="199" t="str">
        <f>VLOOKUP(Tableau2[[#This Row],[Colonne1]],Tableau124[#All],12,FALSE)</f>
        <v>Ouvert du lundi au vendredi
De 8h30 à 12h30 et de 13h30 à 17h30</v>
      </c>
      <c r="N58" s="487" t="str">
        <f>VLOOKUP(Tableau2[[#This Row],[Colonne1]],Tableau124[#All],13,FALSE)</f>
        <v>Réalisation de consultations avancées</v>
      </c>
    </row>
    <row r="59" spans="2:14" ht="86.45" customHeight="1">
      <c r="B59" s="196">
        <v>120</v>
      </c>
      <c r="C59" s="156" t="str">
        <f>VLOOKUP(Tableau2[[#This Row],[Colonne1]],Tableau124[#All],2,FALSE)</f>
        <v>Jura (39)</v>
      </c>
      <c r="D59" s="156" t="str">
        <f>VLOOKUP(Tableau2[[#This Row],[Colonne1]],Tableau124[#All],3,FALSE)</f>
        <v>Cousance</v>
      </c>
      <c r="E59" s="156">
        <f>VLOOKUP(Tableau2[[#This Row],[Colonne1]],Tableau124[#All],4,FALSE)</f>
        <v>39190</v>
      </c>
      <c r="F59" s="156" t="str">
        <f>VLOOKUP(Tableau2[[#This Row],[Colonne1]],Tableau124[#All],5,FALSE)</f>
        <v>60 grande rue</v>
      </c>
      <c r="G59" s="156" t="str">
        <f>VLOOKUP(Tableau2[[#This Row],[Colonne1]],Tableau124[#All],6,FALSE)</f>
        <v>CSAPA (consultations avancées)</v>
      </c>
      <c r="H59" s="156" t="str">
        <f>VLOOKUP(Tableau2[[#This Row],[Colonne1]],Tableau124[#All],7,FALSE)</f>
        <v>CSAPA de l'ADLCA - consultations avancées</v>
      </c>
      <c r="I59" s="156" t="str">
        <f>VLOOKUP(Tableau2[[#This Row],[Colonne1]],Tableau124[#All],8,FALSE)</f>
        <v>Associatif</v>
      </c>
      <c r="J59" s="318" t="str">
        <f>VLOOKUP(Tableau2[[#This Row],[Colonne1]],Tableau124[#All],9,FALSE)</f>
        <v>lons@csapa-adlca.fr</v>
      </c>
      <c r="K59" s="238" t="str">
        <f>VLOOKUP(Tableau2[[#This Row],[Colonne1]],Tableau124[#All],10,FALSE)</f>
        <v>0384240572</v>
      </c>
      <c r="L59" s="318" t="str">
        <f>VLOOKUP(Tableau2[[#This Row],[Colonne1]],Tableau124[#All],11,FALSE)</f>
        <v>https://csapa-adlca.fr/</v>
      </c>
      <c r="M59" s="101" t="str">
        <f>VLOOKUP(Tableau2[[#This Row],[Colonne1]],Tableau124[#All],12,FALSE)</f>
        <v>lundi après midi 14h-17h et le vendredi matin 9h-13h</v>
      </c>
      <c r="N59" s="101" t="str">
        <f>VLOOKUP(Tableau2[[#This Row],[Colonne1]],Tableau124[#All],13,FALSE)</f>
        <v>Réalisation de consultations avancées</v>
      </c>
    </row>
    <row r="60" spans="2:14" ht="86.45" customHeight="1">
      <c r="B60" s="196">
        <v>146</v>
      </c>
      <c r="C60" s="478" t="str">
        <f>VLOOKUP(Tableau2[[#This Row],[Colonne1]],Tableau124[#All],2,FALSE)</f>
        <v>Nièvre (58)</v>
      </c>
      <c r="D60" s="478" t="str">
        <f>VLOOKUP(Tableau2[[#This Row],[Colonne1]],Tableau124[#All],3,FALSE)</f>
        <v>Decize</v>
      </c>
      <c r="E60" s="478" t="str">
        <f>VLOOKUP(Tableau2[[#This Row],[Colonne1]],Tableau124[#All],4,FALSE)</f>
        <v>58300</v>
      </c>
      <c r="F60" s="478" t="str">
        <f>VLOOKUP(Tableau2[[#This Row],[Colonne1]],Tableau124[#All],5,FALSE)</f>
        <v>Centre Hospitalier 74 Route de Moulins</v>
      </c>
      <c r="G60" s="478" t="str">
        <f>VLOOKUP(Tableau2[[#This Row],[Colonne1]],Tableau124[#All],6,FALSE)</f>
        <v>Consultations Hospitalières externes d'addictologie</v>
      </c>
      <c r="H60" s="478" t="str">
        <f>VLOOKUP(Tableau2[[#This Row],[Colonne1]],Tableau124[#All],7,FALSE)</f>
        <v>CENTRE HOSPITALIER  DECIZE</v>
      </c>
      <c r="I60" s="478" t="str">
        <f>VLOOKUP(Tableau2[[#This Row],[Colonne1]],Tableau124[#All],8,FALSE)</f>
        <v>Public</v>
      </c>
      <c r="J60" s="495" t="str">
        <f>VLOOKUP(Tableau2[[#This Row],[Colonne1]],Tableau124[#All],9,FALSE)</f>
        <v>chde.ual@ght58.fr</v>
      </c>
      <c r="K60" s="481" t="str">
        <f>VLOOKUP(Tableau2[[#This Row],[Colonne1]],Tableau124[#All],10,FALSE)</f>
        <v>03 86 77 77 32</v>
      </c>
      <c r="L60" s="311" t="str">
        <f>VLOOKUP(Tableau2[[#This Row],[Colonne1]],Tableau124[#All],11,FALSE)</f>
        <v>www.ghtnievre.fr</v>
      </c>
      <c r="M60" s="129" t="str">
        <f>VLOOKUP(Tableau2[[#This Row],[Colonne1]],Tableau124[#All],12,FALSE)</f>
        <v>Du lundi au vendredi de 9h à  17 h</v>
      </c>
      <c r="N60" s="493" t="str">
        <f>VLOOKUP(Tableau2[[#This Row],[Colonne1]],Tableau124[#All],13,FALSE)</f>
        <v>Intervention auprès de public majeurs</v>
      </c>
    </row>
    <row r="61" spans="2:14" ht="86.45" customHeight="1">
      <c r="B61" s="196">
        <v>147</v>
      </c>
      <c r="C61" s="156" t="str">
        <f>VLOOKUP(Tableau2[[#This Row],[Colonne1]],Tableau124[#All],2,FALSE)</f>
        <v>Nièvre (58)</v>
      </c>
      <c r="D61" s="156" t="str">
        <f>VLOOKUP(Tableau2[[#This Row],[Colonne1]],Tableau124[#All],3,FALSE)</f>
        <v>Decize</v>
      </c>
      <c r="E61" s="156">
        <f>VLOOKUP(Tableau2[[#This Row],[Colonne1]],Tableau124[#All],4,FALSE)</f>
        <v>58300</v>
      </c>
      <c r="F61" s="156" t="str">
        <f>VLOOKUP(Tableau2[[#This Row],[Colonne1]],Tableau124[#All],5,FALSE)</f>
        <v>Centre de Périnatalité de Proximité de Decize, 74 Route de Moulins, BP 20065</v>
      </c>
      <c r="G61" s="156" t="str">
        <f>VLOOKUP(Tableau2[[#This Row],[Colonne1]],Tableau124[#All],6,FALSE)</f>
        <v>CSAPA (consultations avancées)</v>
      </c>
      <c r="H61" s="156" t="str">
        <f>VLOOKUP(Tableau2[[#This Row],[Colonne1]],Tableau124[#All],7,FALSE)</f>
        <v xml:space="preserve">CSAPA - Association Addictions France - consultations avancées - Centre de Périnatalité de Proximité de Decize </v>
      </c>
      <c r="I61" s="156" t="str">
        <f>VLOOKUP(Tableau2[[#This Row],[Colonne1]],Tableau124[#All],8,FALSE)</f>
        <v>Associatif</v>
      </c>
      <c r="J61" s="318" t="str">
        <f>VLOOKUP(Tableau2[[#This Row],[Colonne1]],Tableau124[#All],9,FALSE)</f>
        <v>BFC58@Addictions-france.org</v>
      </c>
      <c r="K61" s="238" t="str">
        <f>VLOOKUP(Tableau2[[#This Row],[Colonne1]],Tableau124[#All],10,FALSE)</f>
        <v xml:space="preserve"> 03 86 61 56 89 </v>
      </c>
      <c r="L61" s="318" t="str">
        <f>VLOOKUP(Tableau2[[#This Row],[Colonne1]],Tableau124[#All],11,FALSE)</f>
        <v>www.addictions-france.org</v>
      </c>
      <c r="M61" s="101" t="str">
        <f>VLOOKUP(Tableau2[[#This Row],[Colonne1]],Tableau124[#All],12,FALSE)</f>
        <v>Du lundi au vendredi de 9h30 à 13h00 et de 14h30 à 17h00</v>
      </c>
      <c r="N61" s="487" t="str">
        <f>VLOOKUP(Tableau2[[#This Row],[Colonne1]],Tableau124[#All],13,FALSE)</f>
        <v>Réalisation de consultations avancées</v>
      </c>
    </row>
    <row r="62" spans="2:14" ht="86.45" customHeight="1">
      <c r="B62" s="196">
        <v>204</v>
      </c>
      <c r="C62" s="156" t="str">
        <f>VLOOKUP(Tableau2[[#This Row],[Colonne1]],Tableau124[#All],2,FALSE)</f>
        <v>Territoire de Belfort (90)</v>
      </c>
      <c r="D62" s="156" t="str">
        <f>VLOOKUP(Tableau2[[#This Row],[Colonne1]],Tableau124[#All],3,FALSE)</f>
        <v>Delle</v>
      </c>
      <c r="E62" s="156">
        <f>VLOOKUP(Tableau2[[#This Row],[Colonne1]],Tableau124[#All],4,FALSE)</f>
        <v>90100</v>
      </c>
      <c r="F62" s="156" t="str">
        <f>VLOOKUP(Tableau2[[#This Row],[Colonne1]],Tableau124[#All],5,FALSE)</f>
        <v>Comité Inter-Entreprise
2 Rue Eugène Claret</v>
      </c>
      <c r="G62" s="156" t="str">
        <f>VLOOKUP(Tableau2[[#This Row],[Colonne1]],Tableau124[#All],6,FALSE)</f>
        <v>CSAPA (consultations avancées)</v>
      </c>
      <c r="H62" s="156" t="str">
        <f>VLOOKUP(Tableau2[[#This Row],[Colonne1]],Tableau124[#All],7,FALSE)</f>
        <v>CSAPA Le Relais Equinoxe - Association d'Hygiène Sociale de Franche Comté - consultations avancées</v>
      </c>
      <c r="I62" s="156" t="str">
        <f>VLOOKUP(Tableau2[[#This Row],[Colonne1]],Tableau124[#All],8,FALSE)</f>
        <v>Associatif</v>
      </c>
      <c r="J62" s="318" t="str">
        <f>VLOOKUP(Tableau2[[#This Row],[Colonne1]],Tableau124[#All],9,FALSE)</f>
        <v xml:space="preserve">pole-addictologie.nfc@afs-fc.fr </v>
      </c>
      <c r="K62" s="238" t="str">
        <f>VLOOKUP(Tableau2[[#This Row],[Colonne1]],Tableau124[#All],10,FALSE)</f>
        <v>03-84-21-76-02</v>
      </c>
      <c r="L62" s="318" t="str">
        <f>VLOOKUP(Tableau2[[#This Row],[Colonne1]],Tableau124[#All],11,FALSE)</f>
        <v>www.ahs-fc.fr</v>
      </c>
      <c r="M62" s="101" t="str">
        <f>VLOOKUP(Tableau2[[#This Row],[Colonne1]],Tableau124[#All],12,FALSE)</f>
        <v>09H – 16H un jeudi sur deux</v>
      </c>
      <c r="N62" s="487" t="str">
        <f>VLOOKUP(Tableau2[[#This Row],[Colonne1]],Tableau124[#All],13,FALSE)</f>
        <v>Réalisation de consultations avancées</v>
      </c>
    </row>
    <row r="63" spans="2:14" ht="86.45" customHeight="1">
      <c r="B63" s="196">
        <v>22</v>
      </c>
      <c r="C63" s="156" t="str">
        <f>VLOOKUP(Tableau2[[#This Row],[Colonne1]],Tableau124[#All],2,FALSE)</f>
        <v>Côte-d’Or (21)</v>
      </c>
      <c r="D63" s="156" t="str">
        <f>VLOOKUP(Tableau2[[#This Row],[Colonne1]],Tableau124[#All],3,FALSE)</f>
        <v>Dijon</v>
      </c>
      <c r="E63" s="156">
        <f>VLOOKUP(Tableau2[[#This Row],[Colonne1]],Tableau124[#All],4,FALSE)</f>
        <v>21000</v>
      </c>
      <c r="F63" s="156" t="str">
        <f>VLOOKUP(Tableau2[[#This Row],[Colonne1]],Tableau124[#All],5,FALSE)</f>
        <v>Centre d'accueil et d'orientation - foyer Sadi Carnot, 6 rue Sadi Carnot 21000 Dijon</v>
      </c>
      <c r="G63" s="156" t="str">
        <f>VLOOKUP(Tableau2[[#This Row],[Colonne1]],Tableau124[#All],6,FALSE)</f>
        <v>CSAPA (Consultations avancées)</v>
      </c>
      <c r="H63" s="156" t="str">
        <f>VLOOKUP(Tableau2[[#This Row],[Colonne1]],Tableau124[#All],7,FALSE)</f>
        <v>Association Addictions France 21</v>
      </c>
      <c r="I63" s="156" t="str">
        <f>VLOOKUP(Tableau2[[#This Row],[Colonne1]],Tableau124[#All],8,FALSE)</f>
        <v>Associatif</v>
      </c>
      <c r="J63" s="646" t="str">
        <f>VLOOKUP(Tableau2[[#This Row],[Colonne1]],Tableau124[#All],9,FALSE)</f>
        <v>csapa.dijon@addictions-france.org</v>
      </c>
      <c r="K63" s="647" t="str">
        <f>VLOOKUP(Tableau2[[#This Row],[Colonne1]],Tableau124[#All],10,FALSE)</f>
        <v>03 80 73 26 32</v>
      </c>
      <c r="L63" s="318" t="str">
        <f>VLOOKUP(Tableau2[[#This Row],[Colonne1]],Tableau124[#All],11,FALSE)</f>
        <v>www.addictions-france.org</v>
      </c>
      <c r="M63" s="270" t="str">
        <f>VLOOKUP(Tableau2[[#This Row],[Colonne1]],Tableau124[#All],12,FALSE)</f>
        <v>Mardi : 9h 11h30</v>
      </c>
      <c r="N63" s="480" t="str">
        <f>VLOOKUP(Tableau2[[#This Row],[Colonne1]],Tableau124[#All],13,FALSE)</f>
        <v>consultations avancées</v>
      </c>
    </row>
    <row r="64" spans="2:14" ht="86.45" customHeight="1">
      <c r="B64" s="196">
        <v>20</v>
      </c>
      <c r="C64" s="156" t="str">
        <f>VLOOKUP(Tableau2[[#This Row],[Colonne1]],Tableau124[#All],2,FALSE)</f>
        <v>Côte-d’Or (21)</v>
      </c>
      <c r="D64" s="156" t="str">
        <f>VLOOKUP(Tableau2[[#This Row],[Colonne1]],Tableau124[#All],3,FALSE)</f>
        <v>Dijon</v>
      </c>
      <c r="E64" s="156" t="str">
        <f>VLOOKUP(Tableau2[[#This Row],[Colonne1]],Tableau124[#All],4,FALSE)</f>
        <v>21000</v>
      </c>
      <c r="F64" s="101" t="str">
        <f>VLOOKUP(Tableau2[[#This Row],[Colonne1]],Tableau124[#All],5,FALSE)</f>
        <v xml:space="preserve">1 rue Jules Toutain </v>
      </c>
      <c r="G64" s="156" t="str">
        <f>VLOOKUP(Tableau2[[#This Row],[Colonne1]],Tableau124[#All],6,FALSE)</f>
        <v>CSAPA</v>
      </c>
      <c r="H64" s="101" t="str">
        <f>VLOOKUP(Tableau2[[#This Row],[Colonne1]],Tableau124[#All],7,FALSE)</f>
        <v>CSAPA La Santoline, SEDAP</v>
      </c>
      <c r="I64" s="156" t="str">
        <f>VLOOKUP(Tableau2[[#This Row],[Colonne1]],Tableau124[#All],8,FALSE)</f>
        <v>Associatif</v>
      </c>
      <c r="J64" s="499" t="str">
        <f>VLOOKUP(Tableau2[[#This Row],[Colonne1]],Tableau124[#All],9,FALSE)</f>
        <v>santoline@addictions-sedap.fr</v>
      </c>
      <c r="K64" s="238" t="str">
        <f>VLOOKUP(Tableau2[[#This Row],[Colonne1]],Tableau124[#All],10,FALSE)</f>
        <v>03 80 65 20 47</v>
      </c>
      <c r="L64" s="318" t="str">
        <f>VLOOKUP(Tableau2[[#This Row],[Colonne1]],Tableau124[#All],11,FALSE)</f>
        <v>www.addictions-sedap.fr</v>
      </c>
      <c r="M64" s="101" t="str">
        <f>VLOOKUP(Tableau2[[#This Row],[Colonne1]],Tableau124[#All],12,FALSE)</f>
        <v>Ouvert 330 jours par an</v>
      </c>
      <c r="N64" s="284" t="str">
        <f>VLOOKUP(Tableau2[[#This Row],[Colonne1]],Tableau124[#All],13,FALSE)</f>
        <v>CSAPA avec hébergement accueillant des personnes majeures, des couples. Dispositif pour femmes enceintes, parents isolés avec enfants. Accueil en aménagement de peine (placement extérieur). Dispositif d'appartements thérapeutiques.</v>
      </c>
    </row>
    <row r="65" spans="2:14" ht="86.45" customHeight="1">
      <c r="B65" s="196">
        <v>30</v>
      </c>
      <c r="C65" s="156" t="str">
        <f>VLOOKUP(Tableau2[[#This Row],[Colonne1]],Tableau124[#All],2,FALSE)</f>
        <v>Côte-d’Or (21)</v>
      </c>
      <c r="D65" s="156" t="str">
        <f>VLOOKUP(Tableau2[[#This Row],[Colonne1]],Tableau124[#All],3,FALSE)</f>
        <v>Dijon</v>
      </c>
      <c r="E65" s="156">
        <f>VLOOKUP(Tableau2[[#This Row],[Colonne1]],Tableau124[#All],4,FALSE)</f>
        <v>21000</v>
      </c>
      <c r="F65" s="156" t="str">
        <f>VLOOKUP(Tableau2[[#This Row],[Colonne1]],Tableau124[#All],5,FALSE)</f>
        <v>Maison d'Arrêt de Dijon
72 bis rue d'Auxonne</v>
      </c>
      <c r="G65" s="156" t="str">
        <f>VLOOKUP(Tableau2[[#This Row],[Colonne1]],Tableau124[#All],6,FALSE)</f>
        <v xml:space="preserve">CSAPA </v>
      </c>
      <c r="H65" s="156" t="str">
        <f>VLOOKUP(Tableau2[[#This Row],[Colonne1]],Tableau124[#All],7,FALSE)</f>
        <v>CSAPA Le Bélem CH La Chartreuse</v>
      </c>
      <c r="I65" s="156" t="str">
        <f>VLOOKUP(Tableau2[[#This Row],[Colonne1]],Tableau124[#All],8,FALSE)</f>
        <v>Public</v>
      </c>
      <c r="J65" s="499" t="str">
        <f>VLOOKUP(Tableau2[[#This Row],[Colonne1]],Tableau124[#All],9,FALSE)</f>
        <v xml:space="preserve">https://www.ch-lachartreuse-dijon-cotedor.fr/ </v>
      </c>
      <c r="K65" s="238" t="str">
        <f>VLOOKUP(Tableau2[[#This Row],[Colonne1]],Tableau124[#All],10,FALSE)</f>
        <v>03 80 67 08 33</v>
      </c>
      <c r="L65" s="318" t="str">
        <f>VLOOKUP(Tableau2[[#This Row],[Colonne1]],Tableau124[#All],11,FALSE)</f>
        <v>csapa@chlcdijon.fr</v>
      </c>
      <c r="M65" s="101" t="str">
        <f>VLOOKUP(Tableau2[[#This Row],[Colonne1]],Tableau124[#All],12,FALSE)</f>
        <v>Lundi au vendredi de 9H à 17h30</v>
      </c>
      <c r="N65" s="489" t="str">
        <f>VLOOKUP(Tableau2[[#This Row],[Colonne1]],Tableau124[#All],13,FALSE)</f>
        <v>CSAPA à vocation exclusivement pénitentiaire et sommes désignés par l'ARS comme CSAPA référent en milieu pénitentiaire</v>
      </c>
    </row>
    <row r="66" spans="2:14" ht="86.45" customHeight="1">
      <c r="B66" s="196">
        <v>16</v>
      </c>
      <c r="C66" s="203" t="str">
        <f>VLOOKUP(Tableau2[[#This Row],[Colonne1]],Tableau124[#All],2,FALSE)</f>
        <v>Côte-d’Or (21)</v>
      </c>
      <c r="D66" s="203" t="str">
        <f>VLOOKUP(Tableau2[[#This Row],[Colonne1]],Tableau124[#All],3,FALSE)</f>
        <v>Dijon</v>
      </c>
      <c r="E66" s="203" t="str">
        <f>VLOOKUP(Tableau2[[#This Row],[Colonne1]],Tableau124[#All],4,FALSE)</f>
        <v>21000</v>
      </c>
      <c r="F66" s="203" t="str">
        <f>VLOOKUP(Tableau2[[#This Row],[Colonne1]],Tableau124[#All],5,FALSE)</f>
        <v>9 Rue Févret</v>
      </c>
      <c r="G66" s="203" t="str">
        <f>VLOOKUP(Tableau2[[#This Row],[Colonne1]],Tableau124[#All],6,FALSE)</f>
        <v>CAARUD de réduction des risques et des dommages à distance</v>
      </c>
      <c r="H66" s="203" t="str">
        <f>VLOOKUP(Tableau2[[#This Row],[Colonne1]],Tableau124[#All],7,FALSE)</f>
        <v>Caarud le SPOT - SEDAP</v>
      </c>
      <c r="I66" s="203" t="str">
        <f>VLOOKUP(Tableau2[[#This Row],[Colonne1]],Tableau124[#All],8,FALSE)</f>
        <v>Associatif</v>
      </c>
      <c r="J66" s="359" t="str">
        <f>VLOOKUP(Tableau2[[#This Row],[Colonne1]],Tableau124[#All],9,FALSE)</f>
        <v>caarud@addictions-sedap.fr</v>
      </c>
      <c r="K66" s="240" t="str">
        <f>VLOOKUP(Tableau2[[#This Row],[Colonne1]],Tableau124[#All],10,FALSE)</f>
        <v>0688223918</v>
      </c>
      <c r="L66" s="359" t="str">
        <f>VLOOKUP(Tableau2[[#This Row],[Colonne1]],Tableau124[#All],11,FALSE)</f>
        <v>www.addictions-sedap.fr</v>
      </c>
      <c r="M66" s="259" t="str">
        <f>VLOOKUP(Tableau2[[#This Row],[Colonne1]],Tableau124[#All],12,FALSE)</f>
        <v>&gt; CAARUD : Lundi : de 10h30 à 14h ( accueil réservé aux femmes ) et de 14h à 17h00 ) ( Accueil mixte ) 
Mercredi : 10h30 à 17h
&gt; Intervention au CSAPA Belem : à la maison d'arrêt de DIJON deux mardis par mois de 14h à 16h
&gt; Permanence devant le CHRS Sadi Carnot deux mardis par mois de 16h30 à 18h30 avec le camping-car
&gt; Permanence au CHRS Machureau deux vendredis par mois de 14h à 16h</v>
      </c>
      <c r="N66" s="488" t="str">
        <f>VLOOKUP(Tableau2[[#This Row],[Colonne1]],Tableau124[#All],13,FALSE)</f>
        <v xml:space="preserve">- unité mobile pouvant servir de lieu d'accueil (déplacement en Côte-d-Or) ; 
- programme d'échange de seringues ;
- intervention en maraude ; 
- intervention en milieu festif ;
- intervention en milieu pénitentier à la Maison d'arrêt de Dijon. </v>
      </c>
    </row>
    <row r="67" spans="2:14" ht="86.45" customHeight="1">
      <c r="B67" s="196">
        <v>18</v>
      </c>
      <c r="C67" s="478" t="str">
        <f>VLOOKUP(Tableau2[[#This Row],[Colonne1]],Tableau124[#All],2,FALSE)</f>
        <v>Côte-d’Or (21)</v>
      </c>
      <c r="D67" s="478" t="str">
        <f>VLOOKUP(Tableau2[[#This Row],[Colonne1]],Tableau124[#All],3,FALSE)</f>
        <v>Dijon</v>
      </c>
      <c r="E67" s="478" t="str">
        <f>VLOOKUP(Tableau2[[#This Row],[Colonne1]],Tableau124[#All],4,FALSE)</f>
        <v>21000</v>
      </c>
      <c r="F67" s="111" t="str">
        <f>VLOOKUP(Tableau2[[#This Row],[Colonne1]],Tableau124[#All],5,FALSE)</f>
        <v>Centre Georges François Leclerc
1 Rue Professeur Marion</v>
      </c>
      <c r="G67" s="478" t="str">
        <f>VLOOKUP(Tableau2[[#This Row],[Colonne1]],Tableau124[#All],6,FALSE)</f>
        <v>Consultations Hospitalières externes d'addictologie</v>
      </c>
      <c r="H67" s="478" t="str">
        <f>VLOOKUP(Tableau2[[#This Row],[Colonne1]],Tableau124[#All],7,FALSE)</f>
        <v>Centre Georges François Leclerc</v>
      </c>
      <c r="I67" s="478" t="str">
        <f>VLOOKUP(Tableau2[[#This Row],[Colonne1]],Tableau124[#All],8,FALSE)</f>
        <v>Public</v>
      </c>
      <c r="J67" s="495" t="str">
        <f>VLOOKUP(Tableau2[[#This Row],[Colonne1]],Tableau124[#All],9,FALSE)</f>
        <v>Secretariat-Consultation@cgfl.fr</v>
      </c>
      <c r="K67" s="481" t="str">
        <f>VLOOKUP(Tableau2[[#This Row],[Colonne1]],Tableau124[#All],10,FALSE)</f>
        <v>03 80 73 77 40</v>
      </c>
      <c r="L67" s="495" t="str">
        <f>VLOOKUP(Tableau2[[#This Row],[Colonne1]],Tableau124[#All],11,FALSE)</f>
        <v>https://www.cgfl.fr/?s=tabacologie</v>
      </c>
      <c r="M67" s="493" t="str">
        <f>VLOOKUP(Tableau2[[#This Row],[Colonne1]],Tableau124[#All],12,FALSE)</f>
        <v>Lundi après-midi de 15h à 17h
Mardi matin de 9h à 12h</v>
      </c>
      <c r="N67" s="486" t="str">
        <f>VLOOKUP(Tableau2[[#This Row],[Colonne1]],Tableau124[#All],13,FALSE)</f>
        <v>Intervention auprès de public majeurs</v>
      </c>
    </row>
    <row r="68" spans="2:14" ht="86.45" customHeight="1">
      <c r="B68" s="196">
        <v>19</v>
      </c>
      <c r="C68" s="478" t="str">
        <f>VLOOKUP(Tableau2[[#This Row],[Colonne1]],Tableau124[#All],2,FALSE)</f>
        <v>Côte-d’Or (21)</v>
      </c>
      <c r="D68" s="478" t="str">
        <f>VLOOKUP(Tableau2[[#This Row],[Colonne1]],Tableau124[#All],3,FALSE)</f>
        <v>Dijon</v>
      </c>
      <c r="E68" s="478" t="str">
        <f>VLOOKUP(Tableau2[[#This Row],[Colonne1]],Tableau124[#All],4,FALSE)</f>
        <v>21000</v>
      </c>
      <c r="F68" s="478" t="str">
        <f>VLOOKUP(Tableau2[[#This Row],[Colonne1]],Tableau124[#All],5,FALSE)</f>
        <v>Hôpital François Mitterrand
CHU de Dijon
Bâtiment Marion (entrée N°5)
14 Rue Paul Gaffarel</v>
      </c>
      <c r="G68" s="478" t="str">
        <f>VLOOKUP(Tableau2[[#This Row],[Colonne1]],Tableau124[#All],6,FALSE)</f>
        <v>Consultations Hospitalières externes d'addictologie</v>
      </c>
      <c r="H68" s="478" t="str">
        <f>VLOOKUP(Tableau2[[#This Row],[Colonne1]],Tableau124[#All],7,FALSE)</f>
        <v>CHU Dijon</v>
      </c>
      <c r="I68" s="478" t="str">
        <f>VLOOKUP(Tableau2[[#This Row],[Colonne1]],Tableau124[#All],8,FALSE)</f>
        <v>Public</v>
      </c>
      <c r="J68" s="495" t="str">
        <f>VLOOKUP(Tableau2[[#This Row],[Colonne1]],Tableau124[#All],9,FALSE)</f>
        <v>addictologie@chu-dijon.fr</v>
      </c>
      <c r="K68" s="481" t="str">
        <f>VLOOKUP(Tableau2[[#This Row],[Colonne1]],Tableau124[#All],10,FALSE)</f>
        <v>03.80.29.35.24</v>
      </c>
      <c r="L68" s="495" t="str">
        <f>VLOOKUP(Tableau2[[#This Row],[Colonne1]],Tableau124[#All],11,FALSE)</f>
        <v>https://www.chu-dijon.fr/</v>
      </c>
      <c r="M68" s="493" t="str">
        <f>VLOOKUP(Tableau2[[#This Row],[Colonne1]],Tableau124[#All],12,FALSE)</f>
        <v>Lundi-Vendredi, 9h-17h</v>
      </c>
      <c r="N68" s="486" t="str">
        <f>VLOOKUP(Tableau2[[#This Row],[Colonne1]],Tableau124[#All],13,FALSE)</f>
        <v xml:space="preserve">Intervention auprès de public majeurs </v>
      </c>
    </row>
    <row r="69" spans="2:14" ht="86.45" customHeight="1">
      <c r="B69" s="196">
        <v>21</v>
      </c>
      <c r="C69" s="225" t="str">
        <f>VLOOKUP(Tableau2[[#This Row],[Colonne1]],Tableau124[#All],2,FALSE)</f>
        <v>Côte-d’Or (21)</v>
      </c>
      <c r="D69" s="156" t="str">
        <f>VLOOKUP(Tableau2[[#This Row],[Colonne1]],Tableau124[#All],3,FALSE)</f>
        <v>Dijon</v>
      </c>
      <c r="E69" s="156" t="str">
        <f>VLOOKUP(Tableau2[[#This Row],[Colonne1]],Tableau124[#All],4,FALSE)</f>
        <v>21000</v>
      </c>
      <c r="F69" s="156" t="str">
        <f>VLOOKUP(Tableau2[[#This Row],[Colonne1]],Tableau124[#All],5,FALSE)</f>
        <v>7 RUE FEVRET</v>
      </c>
      <c r="G69" s="156" t="str">
        <f>VLOOKUP(Tableau2[[#This Row],[Colonne1]],Tableau124[#All],6,FALSE)</f>
        <v>CSAPA</v>
      </c>
      <c r="H69" s="156" t="str">
        <f>VLOOKUP(Tableau2[[#This Row],[Colonne1]],Tableau124[#All],7,FALSE)</f>
        <v>CSAPA Tivoli, Caarud le Spot - SEDAP</v>
      </c>
      <c r="I69" s="156" t="str">
        <f>VLOOKUP(Tableau2[[#This Row],[Colonne1]],Tableau124[#All],8,FALSE)</f>
        <v>Associatif</v>
      </c>
      <c r="J69" s="318" t="str">
        <f>VLOOKUP(Tableau2[[#This Row],[Colonne1]],Tableau124[#All],9,FALSE)</f>
        <v>tivoli@addictions-sedap.fr</v>
      </c>
      <c r="K69" s="238" t="str">
        <f>VLOOKUP(Tableau2[[#This Row],[Colonne1]],Tableau124[#All],10,FALSE)</f>
        <v>0811466280</v>
      </c>
      <c r="L69" s="318" t="str">
        <f>VLOOKUP(Tableau2[[#This Row],[Colonne1]],Tableau124[#All],11,FALSE)</f>
        <v>www.addictions-sedap.fr</v>
      </c>
      <c r="M69" s="101" t="str">
        <f>VLOOKUP(Tableau2[[#This Row],[Colonne1]],Tableau124[#All],12,FALSE)</f>
        <v>Tous les jours : 09h-12h - 14h-18h</v>
      </c>
      <c r="N69" s="660" t="str">
        <f>VLOOKUP(Tableau2[[#This Row],[Colonne1]],Tableau124[#All],13,FALSE)</f>
        <v xml:space="preserve">- réalisation de consultations avancées (Montbard) ;
- Dispositif de soin résidentiel sous forme de centre thérapeutique résidentiel sur Dijon (1 rue Toutain) ;
- Proposition de tests rapide d'orientation diagnostic (TROD) ;
- Dispositif anti-overdose ;
- Présence d'une CJC. </v>
      </c>
    </row>
    <row r="70" spans="2:14" ht="86.45" customHeight="1">
      <c r="B70" s="196">
        <v>17</v>
      </c>
      <c r="C70" s="652" t="str">
        <f>VLOOKUP(Tableau2[[#This Row],[Colonne1]],Tableau124[#All],2,FALSE)</f>
        <v>Côte-d’Or (21)</v>
      </c>
      <c r="D70" s="652" t="str">
        <f>VLOOKUP(Tableau2[[#This Row],[Colonne1]],Tableau124[#All],3,FALSE)</f>
        <v>Dijon</v>
      </c>
      <c r="E70" s="652">
        <f>VLOOKUP(Tableau2[[#This Row],[Colonne1]],Tableau124[#All],4,FALSE)</f>
        <v>21000</v>
      </c>
      <c r="F70" s="652" t="str">
        <f>VLOOKUP(Tableau2[[#This Row],[Colonne1]],Tableau124[#All],5,FALSE)</f>
        <v>6, Avenue Jean Bertin</v>
      </c>
      <c r="G70" s="652" t="str">
        <f>VLOOKUP(Tableau2[[#This Row],[Colonne1]],Tableau124[#All],6,FALSE)</f>
        <v>CJC</v>
      </c>
      <c r="H70" s="652" t="str">
        <f>VLOOKUP(Tableau2[[#This Row],[Colonne1]],Tableau124[#All],7,FALSE)</f>
        <v>CSAPA Tivoli, Caarud le Spot - SEDAP</v>
      </c>
      <c r="I70" s="652" t="str">
        <f>VLOOKUP(Tableau2[[#This Row],[Colonne1]],Tableau124[#All],8,FALSE)</f>
        <v>Associatif</v>
      </c>
      <c r="J70" s="655" t="str">
        <f>VLOOKUP(Tableau2[[#This Row],[Colonne1]],Tableau124[#All],9,FALSE)</f>
        <v>tivoli@addictions-sedap.fr</v>
      </c>
      <c r="K70" s="656" t="str">
        <f>VLOOKUP(Tableau2[[#This Row],[Colonne1]],Tableau124[#All],10,FALSE)</f>
        <v>0811466280</v>
      </c>
      <c r="L70" s="655" t="str">
        <f>VLOOKUP(Tableau2[[#This Row],[Colonne1]],Tableau124[#All],11,FALSE)</f>
        <v>www.addictions-sedap.fr</v>
      </c>
      <c r="M70" s="643" t="str">
        <f>VLOOKUP(Tableau2[[#This Row],[Colonne1]],Tableau124[#All],12,FALSE)</f>
        <v>Tous les jours</v>
      </c>
      <c r="N70" s="524" t="str">
        <f>VLOOKUP(Tableau2[[#This Row],[Colonne1]],Tableau124[#All],13,FALSE)</f>
        <v xml:space="preserve">- Accueil des familles ; 
- Orientation sur rendez-vous ;
- CJC accessible à la famille et l'entourage ; </v>
      </c>
    </row>
    <row r="71" spans="2:14" ht="86.45" customHeight="1">
      <c r="B71" s="196">
        <v>122</v>
      </c>
      <c r="C71" s="111" t="str">
        <f>VLOOKUP(Tableau2[[#This Row],[Colonne1]],Tableau124[#All],2,FALSE)</f>
        <v>Jura (39)</v>
      </c>
      <c r="D71" s="111" t="str">
        <f>VLOOKUP(Tableau2[[#This Row],[Colonne1]],Tableau124[#All],3,FALSE)</f>
        <v>Dole</v>
      </c>
      <c r="E71" s="111" t="str">
        <f>VLOOKUP(Tableau2[[#This Row],[Colonne1]],Tableau124[#All],4,FALSE)</f>
        <v>39100</v>
      </c>
      <c r="F71" s="111" t="str">
        <f>VLOOKUP(Tableau2[[#This Row],[Colonne1]],Tableau124[#All],5,FALSE)</f>
        <v>CONSULTATION DE TABACOLOGIE, 73 Av. Léon Jouhaux
UTEP
CENTRE LOUIS PASTEUR</v>
      </c>
      <c r="G71" s="111" t="str">
        <f>VLOOKUP(Tableau2[[#This Row],[Colonne1]],Tableau124[#All],6,FALSE)</f>
        <v>Consultations Hospitalières externes d'addictologie</v>
      </c>
      <c r="H71" s="111" t="str">
        <f>VLOOKUP(Tableau2[[#This Row],[Colonne1]],Tableau124[#All],7,FALSE)</f>
        <v>CENTRE HOSPITALIER LOUIS PASTEUR</v>
      </c>
      <c r="I71" s="111" t="str">
        <f>VLOOKUP(Tableau2[[#This Row],[Colonne1]],Tableau124[#All],8,FALSE)</f>
        <v>Public</v>
      </c>
      <c r="J71" s="311" t="str">
        <f>VLOOKUP(Tableau2[[#This Row],[Colonne1]],Tableau124[#All],9,FALSE)</f>
        <v xml:space="preserve">UTEP.Secretariat@ch-dole.fr / UTEP.Infirmiere@ch-dole.fr </v>
      </c>
      <c r="K71" s="239" t="str">
        <f>VLOOKUP(Tableau2[[#This Row],[Colonne1]],Tableau124[#All],10,FALSE)</f>
        <v>03 84 79 68 55</v>
      </c>
      <c r="L71" s="311" t="str">
        <f>VLOOKUP(Tableau2[[#This Row],[Colonne1]],Tableau124[#All],11,FALSE)</f>
        <v>https://www.ch-dole.fr</v>
      </c>
      <c r="M71" s="129" t="str">
        <f>VLOOKUP(Tableau2[[#This Row],[Colonne1]],Tableau124[#All],12,FALSE)</f>
        <v>Lundi au vendredi : 9h à 17h possible sur le CSAPA</v>
      </c>
      <c r="N71" s="129" t="str">
        <f>VLOOKUP(Tableau2[[#This Row],[Colonne1]],Tableau124[#All],13,FALSE)</f>
        <v xml:space="preserve">Intervention auprès de public majeurs </v>
      </c>
    </row>
    <row r="72" spans="2:14" ht="86.45" customHeight="1">
      <c r="B72" s="196">
        <v>121</v>
      </c>
      <c r="C72" s="508" t="str">
        <f>VLOOKUP(Tableau2[[#This Row],[Colonne1]],Tableau124[#All],2,FALSE)</f>
        <v>Jura (39)</v>
      </c>
      <c r="D72" s="508" t="str">
        <f>VLOOKUP(Tableau2[[#This Row],[Colonne1]],Tableau124[#All],3,FALSE)</f>
        <v>Dole</v>
      </c>
      <c r="E72" s="508" t="str">
        <f>VLOOKUP(Tableau2[[#This Row],[Colonne1]],Tableau124[#All],4,FALSE)</f>
        <v>39100</v>
      </c>
      <c r="F72" s="508" t="str">
        <f>VLOOKUP(Tableau2[[#This Row],[Colonne1]],Tableau124[#All],5,FALSE)</f>
        <v>Maison des Associations, 9 rue Aristide Briand</v>
      </c>
      <c r="G72" s="508" t="str">
        <f>VLOOKUP(Tableau2[[#This Row],[Colonne1]],Tableau124[#All],6,FALSE)</f>
        <v>CJC</v>
      </c>
      <c r="H72" s="508" t="str">
        <f>VLOOKUP(Tableau2[[#This Row],[Colonne1]],Tableau124[#All],7,FALSE)</f>
        <v>CSAPA Briand Dole - Centre Hospitalier Spécialisé du Jura Saint-Ylie</v>
      </c>
      <c r="I72" s="508" t="str">
        <f>VLOOKUP(Tableau2[[#This Row],[Colonne1]],Tableau124[#All],8,FALSE)</f>
        <v>Public</v>
      </c>
      <c r="J72" s="517" t="str">
        <f>VLOOKUP(Tableau2[[#This Row],[Colonne1]],Tableau124[#All],9,FALSE)</f>
        <v>addicto.dole@chsjura.fr</v>
      </c>
      <c r="K72" s="518" t="str">
        <f>VLOOKUP(Tableau2[[#This Row],[Colonne1]],Tableau124[#All],10,FALSE)</f>
        <v>03.84.82.83.85</v>
      </c>
      <c r="L72" s="642" t="str">
        <f>VLOOKUP(Tableau2[[#This Row],[Colonne1]],Tableau124[#All],11,FALSE)</f>
        <v xml:space="preserve"> </v>
      </c>
      <c r="M72" s="519" t="str">
        <f>VLOOKUP(Tableau2[[#This Row],[Colonne1]],Tableau124[#All],12,FALSE)</f>
        <v>Mercredi : 8h30 à 17h
Permanence à la Maison des Adolescents Jur'Ado : tous les mercredis de 14h à 15h30</v>
      </c>
      <c r="N72" s="516" t="str">
        <f>VLOOKUP(Tableau2[[#This Row],[Colonne1]],Tableau124[#All],13,FALSE)</f>
        <v xml:space="preserve">- Accueil des familles ; 
- Orientation avec et sans rendez-vous ;
- CJC accessible à la famille et l'entourage ; 
- locaux identiques à ceux du CSAPA. </v>
      </c>
    </row>
    <row r="73" spans="2:14" ht="86.45" customHeight="1">
      <c r="B73" s="196">
        <v>123</v>
      </c>
      <c r="C73" s="156" t="str">
        <f>VLOOKUP(Tableau2[[#This Row],[Colonne1]],Tableau124[#All],2,FALSE)</f>
        <v>Jura (39)</v>
      </c>
      <c r="D73" s="156" t="str">
        <f>VLOOKUP(Tableau2[[#This Row],[Colonne1]],Tableau124[#All],3,FALSE)</f>
        <v>Dole</v>
      </c>
      <c r="E73" s="156" t="str">
        <f>VLOOKUP(Tableau2[[#This Row],[Colonne1]],Tableau124[#All],4,FALSE)</f>
        <v>39100</v>
      </c>
      <c r="F73" s="156" t="str">
        <f>VLOOKUP(Tableau2[[#This Row],[Colonne1]],Tableau124[#All],5,FALSE)</f>
        <v>Maison des Associations, 9 rue Aristide Briand</v>
      </c>
      <c r="G73" s="156" t="str">
        <f>VLOOKUP(Tableau2[[#This Row],[Colonne1]],Tableau124[#All],6,FALSE)</f>
        <v>CSAPA</v>
      </c>
      <c r="H73" s="156" t="str">
        <f>VLOOKUP(Tableau2[[#This Row],[Colonne1]],Tableau124[#All],7,FALSE)</f>
        <v>CSAPA Briand Dole - Centre Hospitalier Spécialisé du Jura Saint-Ylie</v>
      </c>
      <c r="I73" s="156" t="str">
        <f>VLOOKUP(Tableau2[[#This Row],[Colonne1]],Tableau124[#All],8,FALSE)</f>
        <v>Public</v>
      </c>
      <c r="J73" s="318" t="str">
        <f>VLOOKUP(Tableau2[[#This Row],[Colonne1]],Tableau124[#All],9,FALSE)</f>
        <v>addicto.dole@chsjura.fr</v>
      </c>
      <c r="K73" s="238" t="str">
        <f>VLOOKUP(Tableau2[[#This Row],[Colonne1]],Tableau124[#All],10,FALSE)</f>
        <v>03.84.82.83.85</v>
      </c>
      <c r="L73" s="502" t="str">
        <f>VLOOKUP(Tableau2[[#This Row],[Colonne1]],Tableau124[#All],11,FALSE)</f>
        <v xml:space="preserve"> </v>
      </c>
      <c r="M73" s="101" t="str">
        <f>VLOOKUP(Tableau2[[#This Row],[Colonne1]],Tableau124[#All],12,FALSE)</f>
        <v>Du lundi au vendredi de 8h30 à 17h00</v>
      </c>
      <c r="N73" s="284" t="str">
        <f>VLOOKUP(Tableau2[[#This Row],[Colonne1]],Tableau124[#All],13,FALSE)</f>
        <v>- dispositifs de soin résidentiel sous forme d'appartement thérapeutique sur Dôle (Avenue Duhamel) ;
- intervention en milieu festif ; 
- mise à disposition de matériel de consommation à moindre risque ;
- présence d'une CJC</v>
      </c>
    </row>
    <row r="74" spans="2:14" ht="86.45" customHeight="1">
      <c r="B74" s="196">
        <v>33</v>
      </c>
      <c r="C74" s="156" t="str">
        <f>VLOOKUP(Tableau2[[#This Row],[Colonne1]],Tableau124[#All],2,FALSE)</f>
        <v>Côte-d’Or (21)</v>
      </c>
      <c r="D74" s="156" t="str">
        <f>VLOOKUP(Tableau2[[#This Row],[Colonne1]],Tableau124[#All],3,FALSE)</f>
        <v>Fontaine Les Dijon</v>
      </c>
      <c r="E74" s="156" t="str">
        <f>VLOOKUP(Tableau2[[#This Row],[Colonne1]],Tableau124[#All],4,FALSE)</f>
        <v>21121</v>
      </c>
      <c r="F74" s="156" t="str">
        <f>VLOOKUP(Tableau2[[#This Row],[Colonne1]],Tableau124[#All],5,FALSE)</f>
        <v>Immeuble Stratège 1 rue du Dauphiné 21121 Fontaine les Dijon</v>
      </c>
      <c r="G74" s="156" t="str">
        <f>VLOOKUP(Tableau2[[#This Row],[Colonne1]],Tableau124[#All],6,FALSE)</f>
        <v>CSAPA</v>
      </c>
      <c r="H74" s="156" t="str">
        <f>VLOOKUP(Tableau2[[#This Row],[Colonne1]],Tableau124[#All],7,FALSE)</f>
        <v>Association Addictions France 21</v>
      </c>
      <c r="I74" s="156" t="str">
        <f>VLOOKUP(Tableau2[[#This Row],[Colonne1]],Tableau124[#All],8,FALSE)</f>
        <v>Associatif</v>
      </c>
      <c r="J74" s="326" t="str">
        <f>VLOOKUP(Tableau2[[#This Row],[Colonne1]],Tableau124[#All],9,FALSE)</f>
        <v>csapa.dijon@addictions-france.org</v>
      </c>
      <c r="K74" s="647" t="str">
        <f>VLOOKUP(Tableau2[[#This Row],[Colonne1]],Tableau124[#All],10,FALSE)</f>
        <v>03 80 73 26 32</v>
      </c>
      <c r="L74" s="496" t="str">
        <f>VLOOKUP(Tableau2[[#This Row],[Colonne1]],Tableau124[#All],11,FALSE)</f>
        <v>www.addictions-france.org</v>
      </c>
      <c r="M74" s="101" t="str">
        <f>VLOOKUP(Tableau2[[#This Row],[Colonne1]],Tableau124[#All],12,FALSE)</f>
        <v xml:space="preserve">Lun au ve : 9h 12h - 14h 17h
</v>
      </c>
      <c r="N74" s="258" t="str">
        <f>VLOOKUP(Tableau2[[#This Row],[Colonne1]],Tableau124[#All],13,FALSE)</f>
        <v xml:space="preserve">   </v>
      </c>
    </row>
    <row r="75" spans="2:14" ht="86.45" customHeight="1">
      <c r="B75" s="196">
        <v>32</v>
      </c>
      <c r="C75" s="156" t="str">
        <f>VLOOKUP(Tableau2[[#This Row],[Colonne1]],Tableau124[#All],2,FALSE)</f>
        <v>Côte-d’Or (21)</v>
      </c>
      <c r="D75" s="156" t="str">
        <f>VLOOKUP(Tableau2[[#This Row],[Colonne1]],Tableau124[#All],3,FALSE)</f>
        <v>Fontaine Les Dijon</v>
      </c>
      <c r="E75" s="156" t="str">
        <f>VLOOKUP(Tableau2[[#This Row],[Colonne1]],Tableau124[#All],4,FALSE)</f>
        <v>21121</v>
      </c>
      <c r="F75" s="156" t="str">
        <f>VLOOKUP(Tableau2[[#This Row],[Colonne1]],Tableau124[#All],5,FALSE)</f>
        <v>Dispositif machureau, 6D boulevard Edmé Nicolas Machureau 21000 Dijon</v>
      </c>
      <c r="G75" s="156" t="str">
        <f>VLOOKUP(Tableau2[[#This Row],[Colonne1]],Tableau124[#All],6,FALSE)</f>
        <v>CSAPA (Consultations avancées)</v>
      </c>
      <c r="H75" s="156" t="str">
        <f>VLOOKUP(Tableau2[[#This Row],[Colonne1]],Tableau124[#All],7,FALSE)</f>
        <v>Association Addictions France 21</v>
      </c>
      <c r="I75" s="156" t="str">
        <f>VLOOKUP(Tableau2[[#This Row],[Colonne1]],Tableau124[#All],8,FALSE)</f>
        <v>Associatif</v>
      </c>
      <c r="J75" s="646" t="str">
        <f>VLOOKUP(Tableau2[[#This Row],[Colonne1]],Tableau124[#All],9,FALSE)</f>
        <v>csapa.dijon@addictions-france.org</v>
      </c>
      <c r="K75" s="647" t="str">
        <f>VLOOKUP(Tableau2[[#This Row],[Colonne1]],Tableau124[#All],10,FALSE)</f>
        <v>03 80 73 26 32</v>
      </c>
      <c r="L75" s="496" t="str">
        <f>VLOOKUP(Tableau2[[#This Row],[Colonne1]],Tableau124[#All],11,FALSE)</f>
        <v>www.addictions-france.org</v>
      </c>
      <c r="M75" s="270" t="str">
        <f>VLOOKUP(Tableau2[[#This Row],[Colonne1]],Tableau124[#All],12,FALSE)</f>
        <v>1 Vendredi sur 2: 9h30  11h30</v>
      </c>
      <c r="N75" s="156" t="str">
        <f>VLOOKUP(Tableau2[[#This Row],[Colonne1]],Tableau124[#All],13,FALSE)</f>
        <v>consultations avancées</v>
      </c>
    </row>
    <row r="76" spans="2:14" ht="86.45" customHeight="1">
      <c r="B76" s="196">
        <v>34</v>
      </c>
      <c r="C76" s="479" t="str">
        <f>VLOOKUP(Tableau2[[#This Row],[Colonne1]],Tableau124[#All],2,FALSE)</f>
        <v>Côte-d’Or (21)</v>
      </c>
      <c r="D76" s="479" t="str">
        <f>VLOOKUP(Tableau2[[#This Row],[Colonne1]],Tableau124[#All],3,FALSE)</f>
        <v>Fontaine Les Dijon</v>
      </c>
      <c r="E76" s="479">
        <f>VLOOKUP(Tableau2[[#This Row],[Colonne1]],Tableau124[#All],4,FALSE)</f>
        <v>21121</v>
      </c>
      <c r="F76" s="479" t="str">
        <f>VLOOKUP(Tableau2[[#This Row],[Colonne1]],Tableau124[#All],5,FALSE)</f>
        <v>CHRS Sadi Carnot, 2 Terrue Sadi Carnot</v>
      </c>
      <c r="G76" s="479" t="str">
        <f>VLOOKUP(Tableau2[[#This Row],[Colonne1]],Tableau124[#All],6,FALSE)</f>
        <v>CSAPA (consultations avancées)</v>
      </c>
      <c r="H76" s="479" t="str">
        <f>VLOOKUP(Tableau2[[#This Row],[Colonne1]],Tableau124[#All],7,FALSE)</f>
        <v>Association Addictions France 21 - consultations avancées</v>
      </c>
      <c r="I76" s="479" t="str">
        <f>VLOOKUP(Tableau2[[#This Row],[Colonne1]],Tableau124[#All],8,FALSE)</f>
        <v>Associatif</v>
      </c>
      <c r="J76" s="498" t="str">
        <f>VLOOKUP(Tableau2[[#This Row],[Colonne1]],Tableau124[#All],9,FALSE)</f>
        <v>bfc21@addictions-france.org</v>
      </c>
      <c r="K76" s="484" t="str">
        <f>VLOOKUP(Tableau2[[#This Row],[Colonne1]],Tableau124[#All],10,FALSE)</f>
        <v>05 80 73 16 46</v>
      </c>
      <c r="L76" s="502" t="str">
        <f>VLOOKUP(Tableau2[[#This Row],[Colonne1]],Tableau124[#All],11,FALSE)</f>
        <v xml:space="preserve"> </v>
      </c>
      <c r="M76" s="156" t="str">
        <f>VLOOKUP(Tableau2[[#This Row],[Colonne1]],Tableau124[#All],12,FALSE)</f>
        <v>mardi : 9h -11h</v>
      </c>
      <c r="N76" s="479" t="str">
        <f>VLOOKUP(Tableau2[[#This Row],[Colonne1]],Tableau124[#All],13,FALSE)</f>
        <v>Réalisation de consultations avancées</v>
      </c>
    </row>
    <row r="77" spans="2:14" ht="86.45" customHeight="1">
      <c r="B77" s="196">
        <v>86</v>
      </c>
      <c r="C77" s="156" t="str">
        <f>VLOOKUP(Tableau2[[#This Row],[Colonne1]],Tableau124[#All],2,FALSE)</f>
        <v>Haute-Saône (70)</v>
      </c>
      <c r="D77" s="156" t="str">
        <f>VLOOKUP(Tableau2[[#This Row],[Colonne1]],Tableau124[#All],3,FALSE)</f>
        <v>Gray</v>
      </c>
      <c r="E77" s="156">
        <f>VLOOKUP(Tableau2[[#This Row],[Colonne1]],Tableau124[#All],4,FALSE)</f>
        <v>70100</v>
      </c>
      <c r="F77" s="156" t="str">
        <f>VLOOKUP(Tableau2[[#This Row],[Colonne1]],Tableau124[#All],5,FALSE)</f>
        <v>Centre hospitalier - 5, rue de l'Arsenal</v>
      </c>
      <c r="G77" s="156" t="str">
        <f>VLOOKUP(Tableau2[[#This Row],[Colonne1]],Tableau124[#All],6,FALSE)</f>
        <v>Antenne CSAPA</v>
      </c>
      <c r="H77" s="156" t="str">
        <f>VLOOKUP(Tableau2[[#This Row],[Colonne1]],Tableau124[#All],7,FALSE)</f>
        <v>Association Addictions France en Haute-Saône</v>
      </c>
      <c r="I77" s="156" t="str">
        <f>VLOOKUP(Tableau2[[#This Row],[Colonne1]],Tableau124[#All],8,FALSE)</f>
        <v>Associatif</v>
      </c>
      <c r="J77" s="496" t="str">
        <f>VLOOKUP(Tableau2[[#This Row],[Colonne1]],Tableau124[#All],9,FALSE)</f>
        <v>cspsa.gray@addictions-france.org</v>
      </c>
      <c r="K77" s="482" t="str">
        <f>VLOOKUP(Tableau2[[#This Row],[Colonne1]],Tableau124[#All],10,FALSE)</f>
        <v>03-84-64-64-62</v>
      </c>
      <c r="L77" s="503" t="str">
        <f>VLOOKUP(Tableau2[[#This Row],[Colonne1]],Tableau124[#All],11,FALSE)</f>
        <v>https://addictions-france.org</v>
      </c>
      <c r="M77" s="199" t="str">
        <f>VLOOKUP(Tableau2[[#This Row],[Colonne1]],Tableau124[#All],12,FALSE)</f>
        <v>Vendredi 9h12h30 et 13h 16h</v>
      </c>
      <c r="N77" s="101" t="str">
        <f>VLOOKUP(Tableau2[[#This Row],[Colonne1]],Tableau124[#All],13,FALSE)</f>
        <v>Réalisation de consultations avancées</v>
      </c>
    </row>
    <row r="78" spans="2:14" ht="86.45" customHeight="1">
      <c r="B78" s="196">
        <v>87</v>
      </c>
      <c r="C78" s="156" t="str">
        <f>VLOOKUP(Tableau2[[#This Row],[Colonne1]],Tableau124[#All],2,FALSE)</f>
        <v>Haute-Saône (70)</v>
      </c>
      <c r="D78" s="156" t="str">
        <f>VLOOKUP(Tableau2[[#This Row],[Colonne1]],Tableau124[#All],3,FALSE)</f>
        <v>Gray</v>
      </c>
      <c r="E78" s="156">
        <f>VLOOKUP(Tableau2[[#This Row],[Colonne1]],Tableau124[#All],4,FALSE)</f>
        <v>70100</v>
      </c>
      <c r="F78" s="156" t="str">
        <f>VLOOKUP(Tableau2[[#This Row],[Colonne1]],Tableau124[#All],5,FALSE)</f>
        <v>MDA de Gray - 10, rue des Casernes</v>
      </c>
      <c r="G78" s="156" t="str">
        <f>VLOOKUP(Tableau2[[#This Row],[Colonne1]],Tableau124[#All],6,FALSE)</f>
        <v>CSAPA (consultations avancées)</v>
      </c>
      <c r="H78" s="156" t="str">
        <f>VLOOKUP(Tableau2[[#This Row],[Colonne1]],Tableau124[#All],7,FALSE)</f>
        <v>Association Addictions France en Haute-Saône - consultations avancées</v>
      </c>
      <c r="I78" s="156" t="str">
        <f>VLOOKUP(Tableau2[[#This Row],[Colonne1]],Tableau124[#All],8,FALSE)</f>
        <v>Associatif</v>
      </c>
      <c r="J78" s="496" t="str">
        <f>VLOOKUP(Tableau2[[#This Row],[Colonne1]],Tableau124[#All],9,FALSE)</f>
        <v>bfc70@addictions-france.org</v>
      </c>
      <c r="K78" s="482" t="str">
        <f>VLOOKUP(Tableau2[[#This Row],[Colonne1]],Tableau124[#All],10,FALSE)</f>
        <v>03-84-76-75-79</v>
      </c>
      <c r="L78" s="496" t="str">
        <f>VLOOKUP(Tableau2[[#This Row],[Colonne1]],Tableau124[#All],11,FALSE)</f>
        <v>https://addictions-france.org</v>
      </c>
      <c r="M78" s="199" t="str">
        <f>VLOOKUP(Tableau2[[#This Row],[Colonne1]],Tableau124[#All],12,FALSE)</f>
        <v>Mercredi 14h-18h</v>
      </c>
      <c r="N78" s="101" t="str">
        <f>VLOOKUP(Tableau2[[#This Row],[Colonne1]],Tableau124[#All],13,FALSE)</f>
        <v>Réalisation de consultations avancées</v>
      </c>
    </row>
    <row r="79" spans="2:14" ht="86.45" customHeight="1">
      <c r="B79" s="196">
        <v>88</v>
      </c>
      <c r="C79" s="156" t="str">
        <f>VLOOKUP(Tableau2[[#This Row],[Colonne1]],Tableau124[#All],2,FALSE)</f>
        <v>Haute-Saône (70)</v>
      </c>
      <c r="D79" s="156" t="str">
        <f>VLOOKUP(Tableau2[[#This Row],[Colonne1]],Tableau124[#All],3,FALSE)</f>
        <v>Gray</v>
      </c>
      <c r="E79" s="156">
        <f>VLOOKUP(Tableau2[[#This Row],[Colonne1]],Tableau124[#All],4,FALSE)</f>
        <v>70100</v>
      </c>
      <c r="F79" s="156" t="str">
        <f>VLOOKUP(Tableau2[[#This Row],[Colonne1]],Tableau124[#All],5,FALSE)</f>
        <v>Centre de Périnatalité de Proximité de Gray  5 r Arsenal</v>
      </c>
      <c r="G79" s="156" t="str">
        <f>VLOOKUP(Tableau2[[#This Row],[Colonne1]],Tableau124[#All],6,FALSE)</f>
        <v>CSAPA (consultations avancées)</v>
      </c>
      <c r="H79" s="156" t="str">
        <f>VLOOKUP(Tableau2[[#This Row],[Colonne1]],Tableau124[#All],7,FALSE)</f>
        <v xml:space="preserve">CSAPA - Association Addictions France - consultations avancées - Centre de Périnatalité de Proximité de Gray </v>
      </c>
      <c r="I79" s="156" t="str">
        <f>VLOOKUP(Tableau2[[#This Row],[Colonne1]],Tableau124[#All],8,FALSE)</f>
        <v>Associatif</v>
      </c>
      <c r="J79" s="496" t="str">
        <f>VLOOKUP(Tableau2[[#This Row],[Colonne1]],Tableau124[#All],9,FALSE)</f>
        <v>csapa.gray@addictions-france.org</v>
      </c>
      <c r="K79" s="482" t="str">
        <f>VLOOKUP(Tableau2[[#This Row],[Colonne1]],Tableau124[#All],10,FALSE)</f>
        <v>03-84-64-64-62</v>
      </c>
      <c r="L79" s="496" t="str">
        <f>VLOOKUP(Tableau2[[#This Row],[Colonne1]],Tableau124[#All],11,FALSE)</f>
        <v xml:space="preserve"> https://addictions-france.org</v>
      </c>
      <c r="M79" s="199" t="str">
        <f>VLOOKUP(Tableau2[[#This Row],[Colonne1]],Tableau124[#All],12,FALSE)</f>
        <v>Lundi 13h30-17h sauf 1er lundi du mois : 9h-12h30 - Jeudi 13h30-17h</v>
      </c>
      <c r="N79" s="487" t="str">
        <f>VLOOKUP(Tableau2[[#This Row],[Colonne1]],Tableau124[#All],13,FALSE)</f>
        <v>Réalisation de consultations avancées</v>
      </c>
    </row>
    <row r="80" spans="2:14" ht="86.45" customHeight="1">
      <c r="B80" s="196">
        <v>89</v>
      </c>
      <c r="C80" s="508" t="str">
        <f>VLOOKUP(Tableau2[[#This Row],[Colonne1]],Tableau124[#All],2,FALSE)</f>
        <v>Haute-Saône (70)</v>
      </c>
      <c r="D80" s="519" t="str">
        <f>VLOOKUP(Tableau2[[#This Row],[Colonne1]],Tableau124[#All],3,FALSE)</f>
        <v xml:space="preserve">Gray </v>
      </c>
      <c r="E80" s="519">
        <f>VLOOKUP(Tableau2[[#This Row],[Colonne1]],Tableau124[#All],4,FALSE)</f>
        <v>70100</v>
      </c>
      <c r="F80" s="519" t="str">
        <f>VLOOKUP(Tableau2[[#This Row],[Colonne1]],Tableau124[#All],5,FALSE)</f>
        <v>Antenne de Gray  – Centre Hospitalier – 5, rue de l’Arsenal</v>
      </c>
      <c r="G80" s="519" t="str">
        <f>VLOOKUP(Tableau2[[#This Row],[Colonne1]],Tableau124[#All],6,FALSE)</f>
        <v>CJC</v>
      </c>
      <c r="H80" s="508" t="str">
        <f>VLOOKUP(Tableau2[[#This Row],[Colonne1]],Tableau124[#All],7,FALSE)</f>
        <v>Association Addictions France en Haute-Saône</v>
      </c>
      <c r="I80" s="519" t="str">
        <f>VLOOKUP(Tableau2[[#This Row],[Colonne1]],Tableau124[#All],8,FALSE)</f>
        <v>Associatif</v>
      </c>
      <c r="J80" s="641" t="str">
        <f>VLOOKUP(Tableau2[[#This Row],[Colonne1]],Tableau124[#All],9,FALSE)</f>
        <v>csapa.gray@addictions-france.org</v>
      </c>
      <c r="K80" s="509" t="str">
        <f>VLOOKUP(Tableau2[[#This Row],[Colonne1]],Tableau124[#All],10,FALSE)</f>
        <v xml:space="preserve"> 03-84-64-64-62</v>
      </c>
      <c r="L80" s="522" t="str">
        <f>VLOOKUP(Tableau2[[#This Row],[Colonne1]],Tableau124[#All],11,FALSE)</f>
        <v>https://addictions-france.org</v>
      </c>
      <c r="M80" s="523" t="str">
        <f>VLOOKUP(Tableau2[[#This Row],[Colonne1]],Tableau124[#All],12,FALSE)</f>
        <v xml:space="preserve">Jeudi 12h30-16h </v>
      </c>
      <c r="N80" s="643" t="str">
        <f>VLOOKUP(Tableau2[[#This Row],[Colonne1]],Tableau124[#All],13,FALSE)</f>
        <v xml:space="preserve"> Locaux identiques à ceux du CSAPA ; Orientation sur rendez-vous ; accessible à la famille et l'entourage</v>
      </c>
    </row>
    <row r="81" spans="2:14" ht="86.45" customHeight="1">
      <c r="B81" s="196">
        <v>91</v>
      </c>
      <c r="C81" s="129" t="str">
        <f>VLOOKUP(Tableau2[[#This Row],[Colonne1]],Tableau124[#All],2,FALSE)</f>
        <v>Haute-Saône (70)</v>
      </c>
      <c r="D81" s="129" t="str">
        <f>VLOOKUP(Tableau2[[#This Row],[Colonne1]],Tableau124[#All],3,FALSE)</f>
        <v>Héricourt</v>
      </c>
      <c r="E81" s="129">
        <f>VLOOKUP(Tableau2[[#This Row],[Colonne1]],Tableau124[#All],4,FALSE)</f>
        <v>70400</v>
      </c>
      <c r="F81" s="129" t="str">
        <f>VLOOKUP(Tableau2[[#This Row],[Colonne1]],Tableau124[#All],5,FALSE)</f>
        <v>Association Hospitalière de Bourgogne-Franche-Comté, 9 rue martin Niemöller</v>
      </c>
      <c r="G81" s="129" t="str">
        <f>VLOOKUP(Tableau2[[#This Row],[Colonne1]],Tableau124[#All],6,FALSE)</f>
        <v>Consultations Hospitalières externes d'addictologie</v>
      </c>
      <c r="H81" s="129" t="str">
        <f>VLOOKUP(Tableau2[[#This Row],[Colonne1]],Tableau124[#All],7,FALSE)</f>
        <v>AHBFC</v>
      </c>
      <c r="I81" s="129" t="str">
        <f>VLOOKUP(Tableau2[[#This Row],[Colonne1]],Tableau124[#All],8,FALSE)</f>
        <v>Associatif</v>
      </c>
      <c r="J81" s="311" t="str">
        <f>VLOOKUP(Tableau2[[#This Row],[Colonne1]],Tableau124[#All],9,FALSE)</f>
        <v>contact@ahbfc.fr</v>
      </c>
      <c r="K81" s="239" t="str">
        <f>VLOOKUP(Tableau2[[#This Row],[Colonne1]],Tableau124[#All],10,FALSE)</f>
        <v xml:space="preserve">03 81 90 76 10 </v>
      </c>
      <c r="L81" s="311" t="str">
        <f>VLOOKUP(Tableau2[[#This Row],[Colonne1]],Tableau124[#All],11,FALSE)</f>
        <v>www.ahbfc.fr</v>
      </c>
      <c r="M81" s="493" t="str">
        <f>VLOOKUP(Tableau2[[#This Row],[Colonne1]],Tableau124[#All],12,FALSE)</f>
        <v>du lundi au vendredi après-midi (14h-17h), sur rendez-vous.</v>
      </c>
      <c r="N81" s="486" t="str">
        <f>VLOOKUP(Tableau2[[#This Row],[Colonne1]],Tableau124[#All],13,FALSE)</f>
        <v>Intervention auprès de public majeurs</v>
      </c>
    </row>
    <row r="82" spans="2:14" ht="86.45" customHeight="1">
      <c r="B82" s="196">
        <v>90</v>
      </c>
      <c r="C82" s="101" t="str">
        <f>VLOOKUP(Tableau2[[#This Row],[Colonne1]],Tableau124[#All],2,FALSE)</f>
        <v>Haute-Saône (70)</v>
      </c>
      <c r="D82" s="101" t="str">
        <f>VLOOKUP(Tableau2[[#This Row],[Colonne1]],Tableau124[#All],3,FALSE)</f>
        <v>Héricourt</v>
      </c>
      <c r="E82" s="101">
        <f>VLOOKUP(Tableau2[[#This Row],[Colonne1]],Tableau124[#All],4,FALSE)</f>
        <v>70400</v>
      </c>
      <c r="F82" s="101" t="str">
        <f>VLOOKUP(Tableau2[[#This Row],[Colonne1]],Tableau124[#All],5,FALSE)</f>
        <v>25 avenue Léon Jouhaux, BP 6</v>
      </c>
      <c r="G82" s="156" t="str">
        <f>VLOOKUP(Tableau2[[#This Row],[Colonne1]],Tableau124[#All],6,FALSE)</f>
        <v>Antenne CSAPA</v>
      </c>
      <c r="H82" s="156" t="str">
        <f>VLOOKUP(Tableau2[[#This Row],[Colonne1]],Tableau124[#All],7,FALSE)</f>
        <v>CSAPA Le Relais Equinoxe - Association d'Hygiène Sociale de Franche Comté</v>
      </c>
      <c r="I82" s="156" t="str">
        <f>VLOOKUP(Tableau2[[#This Row],[Colonne1]],Tableau124[#All],8,FALSE)</f>
        <v>Associatif</v>
      </c>
      <c r="J82" s="318" t="str">
        <f>VLOOKUP(Tableau2[[#This Row],[Colonne1]],Tableau124[#All],9,FALSE)</f>
        <v>pole-addictologie.nfc@ahs-fc.fr</v>
      </c>
      <c r="K82" s="238" t="str">
        <f>VLOOKUP(Tableau2[[#This Row],[Colonne1]],Tableau124[#All],10,FALSE)</f>
        <v>03 84 36 67 07</v>
      </c>
      <c r="L82" s="318" t="str">
        <f>VLOOKUP(Tableau2[[#This Row],[Colonne1]],Tableau124[#All],11,FALSE)</f>
        <v>www.ahs-fc.fr</v>
      </c>
      <c r="M82" s="101" t="str">
        <f>VLOOKUP(Tableau2[[#This Row],[Colonne1]],Tableau124[#All],12,FALSE)</f>
        <v>Lundi au jeudi de 9h à 16h 
Vendredi : 9h-13h30 et 14h30-16h</v>
      </c>
      <c r="N82" s="198" t="str">
        <f>VLOOKUP(Tableau2[[#This Row],[Colonne1]],Tableau124[#All],13,FALSE)</f>
        <v xml:space="preserve"> </v>
      </c>
    </row>
    <row r="83" spans="2:14" ht="86.45" customHeight="1">
      <c r="B83" s="196">
        <v>150</v>
      </c>
      <c r="C83" s="156" t="str">
        <f>VLOOKUP(Tableau2[[#This Row],[Colonne1]],Tableau124[#All],2,FALSE)</f>
        <v>Nièvre (58)</v>
      </c>
      <c r="D83" s="156" t="str">
        <f>VLOOKUP(Tableau2[[#This Row],[Colonne1]],Tableau124[#All],3,FALSE)</f>
        <v>Imphy</v>
      </c>
      <c r="E83" s="156">
        <f>VLOOKUP(Tableau2[[#This Row],[Colonne1]],Tableau124[#All],4,FALSE)</f>
        <v>58160</v>
      </c>
      <c r="F83" s="156" t="str">
        <f>VLOOKUP(Tableau2[[#This Row],[Colonne1]],Tableau124[#All],5,FALSE)</f>
        <v>CHRS -8 Rue Jean Sounié</v>
      </c>
      <c r="G83" s="156" t="str">
        <f>VLOOKUP(Tableau2[[#This Row],[Colonne1]],Tableau124[#All],6,FALSE)</f>
        <v>CSAPA (consultations avancées)</v>
      </c>
      <c r="H83" s="156" t="str">
        <f>VLOOKUP(Tableau2[[#This Row],[Colonne1]],Tableau124[#All],7,FALSE)</f>
        <v>CSAPA - Association Addictions France- consultations avancées</v>
      </c>
      <c r="I83" s="156" t="str">
        <f>VLOOKUP(Tableau2[[#This Row],[Colonne1]],Tableau124[#All],8,FALSE)</f>
        <v>Associatif</v>
      </c>
      <c r="J83" s="322" t="str">
        <f>VLOOKUP(Tableau2[[#This Row],[Colonne1]],Tableau124[#All],9,FALSE)</f>
        <v>BFC58@Addictions-france.org</v>
      </c>
      <c r="K83" s="484" t="str">
        <f>VLOOKUP(Tableau2[[#This Row],[Colonne1]],Tableau124[#All],10,FALSE)</f>
        <v>04 86 61 56 89</v>
      </c>
      <c r="L83" s="324" t="str">
        <f>VLOOKUP(Tableau2[[#This Row],[Colonne1]],Tableau124[#All],11,FALSE)</f>
        <v xml:space="preserve"> </v>
      </c>
      <c r="M83" s="479" t="str">
        <f>VLOOKUP(Tableau2[[#This Row],[Colonne1]],Tableau124[#All],12,FALSE)</f>
        <v>4ème vendredi de 9H00 A 12H00</v>
      </c>
      <c r="N83" s="480" t="str">
        <f>VLOOKUP(Tableau2[[#This Row],[Colonne1]],Tableau124[#All],13,FALSE)</f>
        <v>Réalisation de consultations avancées</v>
      </c>
    </row>
    <row r="84" spans="2:14" ht="86.45" customHeight="1">
      <c r="B84" s="196">
        <v>35</v>
      </c>
      <c r="C84" s="156" t="str">
        <f>VLOOKUP(Tableau2[[#This Row],[Colonne1]],Tableau124[#All],2,FALSE)</f>
        <v>Côte-d’Or (21)</v>
      </c>
      <c r="D84" s="156" t="str">
        <f>VLOOKUP(Tableau2[[#This Row],[Colonne1]],Tableau124[#All],3,FALSE)</f>
        <v>Is-Sur-Tille</v>
      </c>
      <c r="E84" s="156">
        <f>VLOOKUP(Tableau2[[#This Row],[Colonne1]],Tableau124[#All],4,FALSE)</f>
        <v>21120</v>
      </c>
      <c r="F84" s="156" t="str">
        <f>VLOOKUP(Tableau2[[#This Row],[Colonne1]],Tableau124[#All],5,FALSE)</f>
        <v>20, place Général Leclerc</v>
      </c>
      <c r="G84" s="156" t="str">
        <f>VLOOKUP(Tableau2[[#This Row],[Colonne1]],Tableau124[#All],6,FALSE)</f>
        <v>Antenne CSAPA</v>
      </c>
      <c r="H84" s="156" t="str">
        <f>VLOOKUP(Tableau2[[#This Row],[Colonne1]],Tableau124[#All],7,FALSE)</f>
        <v>CSAPA Tivoli, Caarud le Spot - SEDAP</v>
      </c>
      <c r="I84" s="156" t="str">
        <f>VLOOKUP(Tableau2[[#This Row],[Colonne1]],Tableau124[#All],8,FALSE)</f>
        <v>Associatif</v>
      </c>
      <c r="J84" s="318" t="str">
        <f>VLOOKUP(Tableau2[[#This Row],[Colonne1]],Tableau124[#All],9,FALSE)</f>
        <v>seine-tilles@addictions-sedap.fr</v>
      </c>
      <c r="K84" s="482">
        <f>VLOOKUP(Tableau2[[#This Row],[Colonne1]],Tableau124[#All],10,FALSE)</f>
        <v>811466280</v>
      </c>
      <c r="L84" s="324" t="str">
        <f>VLOOKUP(Tableau2[[#This Row],[Colonne1]],Tableau124[#All],11,FALSE)</f>
        <v xml:space="preserve"> </v>
      </c>
      <c r="M84" s="199" t="str">
        <f>VLOOKUP(Tableau2[[#This Row],[Colonne1]],Tableau124[#All],12,FALSE)</f>
        <v>Les lundis, mercredis 9h-12/14h-18 et vendredis 14h-18h</v>
      </c>
      <c r="N84" s="650" t="str">
        <f>VLOOKUP(Tableau2[[#This Row],[Colonne1]],Tableau124[#All],13,FALSE)</f>
        <v xml:space="preserve">    </v>
      </c>
    </row>
    <row r="85" spans="2:14" ht="86.45" customHeight="1">
      <c r="B85" s="196">
        <v>226</v>
      </c>
      <c r="C85" s="111" t="str">
        <f>VLOOKUP(Tableau2[[#This Row],[Colonne1]],Tableau124[#All],2,FALSE)</f>
        <v>Yonne (89)</v>
      </c>
      <c r="D85" s="111" t="str">
        <f>VLOOKUP(Tableau2[[#This Row],[Colonne1]],Tableau124[#All],3,FALSE)</f>
        <v>Joigny</v>
      </c>
      <c r="E85" s="111" t="str">
        <f>VLOOKUP(Tableau2[[#This Row],[Colonne1]],Tableau124[#All],4,FALSE)</f>
        <v>89300</v>
      </c>
      <c r="F85" s="111" t="str">
        <f>VLOOKUP(Tableau2[[#This Row],[Colonne1]],Tableau124[#All],5,FALSE)</f>
        <v>CH JOIGNY 3  quai de l'hôpital</v>
      </c>
      <c r="G85" s="111" t="str">
        <f>VLOOKUP(Tableau2[[#This Row],[Colonne1]],Tableau124[#All],6,FALSE)</f>
        <v>Consultations Hospitalières externes d'addictologie</v>
      </c>
      <c r="H85" s="111" t="str">
        <f>VLOOKUP(Tableau2[[#This Row],[Colonne1]],Tableau124[#All],7,FALSE)</f>
        <v xml:space="preserve">Centre Hospitalier de Joigny pôle H </v>
      </c>
      <c r="I85" s="111" t="str">
        <f>VLOOKUP(Tableau2[[#This Row],[Colonne1]],Tableau124[#All],8,FALSE)</f>
        <v>Public</v>
      </c>
      <c r="J85" s="495" t="str">
        <f>VLOOKUP(Tableau2[[#This Row],[Colonne1]],Tableau124[#All],9,FALSE)</f>
        <v>addictologie@ch-joigny.fr</v>
      </c>
      <c r="K85" s="481" t="str">
        <f>VLOOKUP(Tableau2[[#This Row],[Colonne1]],Tableau124[#All],10,FALSE)</f>
        <v>03.86.92.33.77</v>
      </c>
      <c r="L85" s="324" t="str">
        <f>VLOOKUP(Tableau2[[#This Row],[Colonne1]],Tableau124[#All],11,FALSE)</f>
        <v xml:space="preserve"> </v>
      </c>
      <c r="M85" s="493" t="str">
        <f>VLOOKUP(Tableau2[[#This Row],[Colonne1]],Tableau124[#All],12,FALSE)</f>
        <v>5 jours sur 7 de 8h à 16h (heure de fermeture du secrétariat d'accueil, 
Rendez-vous les week-end exceptionnellement si nécessité (routiers, travaille en 2/8)</v>
      </c>
      <c r="N85" s="129" t="str">
        <f>VLOOKUP(Tableau2[[#This Row],[Colonne1]],Tableau124[#All],13,FALSE)</f>
        <v>Intervention auprès de public majeurs et mineurs</v>
      </c>
    </row>
    <row r="86" spans="2:14" ht="86.45" customHeight="1">
      <c r="B86" s="196">
        <v>92</v>
      </c>
      <c r="C86" s="156" t="str">
        <f>VLOOKUP(Tableau2[[#This Row],[Colonne1]],Tableau124[#All],2,FALSE)</f>
        <v>Haute-Saône (70)</v>
      </c>
      <c r="D86" s="156" t="str">
        <f>VLOOKUP(Tableau2[[#This Row],[Colonne1]],Tableau124[#All],3,FALSE)</f>
        <v>Jussey</v>
      </c>
      <c r="E86" s="156">
        <f>VLOOKUP(Tableau2[[#This Row],[Colonne1]],Tableau124[#All],4,FALSE)</f>
        <v>70500</v>
      </c>
      <c r="F86" s="156" t="str">
        <f>VLOOKUP(Tableau2[[#This Row],[Colonne1]],Tableau124[#All],5,FALSE)</f>
        <v>CMS - Place du Champ de Foire</v>
      </c>
      <c r="G86" s="156" t="str">
        <f>VLOOKUP(Tableau2[[#This Row],[Colonne1]],Tableau124[#All],6,FALSE)</f>
        <v>CSAPA (consultations avancées)</v>
      </c>
      <c r="H86" s="156" t="str">
        <f>VLOOKUP(Tableau2[[#This Row],[Colonne1]],Tableau124[#All],7,FALSE)</f>
        <v>Association Addictions France en Haute-Saône - consultations avancées</v>
      </c>
      <c r="I86" s="156" t="str">
        <f>VLOOKUP(Tableau2[[#This Row],[Colonne1]],Tableau124[#All],8,FALSE)</f>
        <v>Associatif</v>
      </c>
      <c r="J86" s="496" t="str">
        <f>VLOOKUP(Tableau2[[#This Row],[Colonne1]],Tableau124[#All],9,FALSE)</f>
        <v>csapa.vesoul@addictions-france.org</v>
      </c>
      <c r="K86" s="482" t="str">
        <f>VLOOKUP(Tableau2[[#This Row],[Colonne1]],Tableau124[#All],10,FALSE)</f>
        <v>03-84-76-75-75</v>
      </c>
      <c r="L86" s="318" t="str">
        <f>VLOOKUP(Tableau2[[#This Row],[Colonne1]],Tableau124[#All],11,FALSE)</f>
        <v>https://addictions-france.org</v>
      </c>
      <c r="M86" s="199" t="str">
        <f>VLOOKUP(Tableau2[[#This Row],[Colonne1]],Tableau124[#All],12,FALSE)</f>
        <v>Lundi 13h30-16h30 (1 fois par mois)</v>
      </c>
      <c r="N86" s="101" t="str">
        <f>VLOOKUP(Tableau2[[#This Row],[Colonne1]],Tableau124[#All],13,FALSE)</f>
        <v>Réalisation de consultations avancées</v>
      </c>
    </row>
    <row r="87" spans="2:14" ht="86.45" customHeight="1">
      <c r="B87" s="196">
        <v>151</v>
      </c>
      <c r="C87" s="129" t="str">
        <f>VLOOKUP(Tableau2[[#This Row],[Colonne1]],Tableau124[#All],2,FALSE)</f>
        <v>Nièvre (58)</v>
      </c>
      <c r="D87" s="129" t="str">
        <f>VLOOKUP(Tableau2[[#This Row],[Colonne1]],Tableau124[#All],3,FALSE)</f>
        <v>La Charité-sur-Loire</v>
      </c>
      <c r="E87" s="129">
        <f>VLOOKUP(Tableau2[[#This Row],[Colonne1]],Tableau124[#All],4,FALSE)</f>
        <v>58400</v>
      </c>
      <c r="F87" s="129" t="str">
        <f>VLOOKUP(Tableau2[[#This Row],[Colonne1]],Tableau124[#All],5,FALSE)</f>
        <v>CH Pierre Lôo
51 rue des Hôtelleries</v>
      </c>
      <c r="G87" s="129" t="str">
        <f>VLOOKUP(Tableau2[[#This Row],[Colonne1]],Tableau124[#All],6,FALSE)</f>
        <v>Consultations Hospitalières externes d'addictologie</v>
      </c>
      <c r="H87" s="129" t="str">
        <f>VLOOKUP(Tableau2[[#This Row],[Colonne1]],Tableau124[#All],7,FALSE)</f>
        <v>CH Pierre Lôo</v>
      </c>
      <c r="I87" s="129" t="str">
        <f>VLOOKUP(Tableau2[[#This Row],[Colonne1]],Tableau124[#All],8,FALSE)</f>
        <v>Public</v>
      </c>
      <c r="J87" s="644" t="str">
        <f>VLOOKUP(Tableau2[[#This Row],[Colonne1]],Tableau124[#All],9,FALSE)</f>
        <v>chpl.direction.secretariat@ght58.fr</v>
      </c>
      <c r="K87" s="502"/>
      <c r="L87" s="502"/>
      <c r="M87" s="502"/>
      <c r="N87" s="324"/>
    </row>
    <row r="88" spans="2:14" ht="86.45" customHeight="1">
      <c r="B88" s="196">
        <v>170</v>
      </c>
      <c r="C88" s="156" t="str">
        <f>VLOOKUP(Tableau2[[#This Row],[Colonne1]],Tableau124[#All],2,FALSE)</f>
        <v>Saône-et-Loire (71)</v>
      </c>
      <c r="D88" s="156" t="str">
        <f>VLOOKUP(Tableau2[[#This Row],[Colonne1]],Tableau124[#All],3,FALSE)</f>
        <v>Le Creusot</v>
      </c>
      <c r="E88" s="156">
        <f>VLOOKUP(Tableau2[[#This Row],[Colonne1]],Tableau124[#All],4,FALSE)</f>
        <v>71200</v>
      </c>
      <c r="F88" s="156" t="str">
        <f>VLOOKUP(Tableau2[[#This Row],[Colonne1]],Tableau124[#All],5,FALSE)</f>
        <v>12 rue Pierre et Marie Curie</v>
      </c>
      <c r="G88" s="156" t="str">
        <f>VLOOKUP(Tableau2[[#This Row],[Colonne1]],Tableau124[#All],6,FALSE)</f>
        <v>Antenne CSAPA</v>
      </c>
      <c r="H88" s="156" t="str">
        <f>VLOOKUP(Tableau2[[#This Row],[Colonne1]],Tableau124[#All],7,FALSE)</f>
        <v>Addictions France 71</v>
      </c>
      <c r="I88" s="156" t="str">
        <f>VLOOKUP(Tableau2[[#This Row],[Colonne1]],Tableau124[#All],8,FALSE)</f>
        <v>Associatif</v>
      </c>
      <c r="J88" s="496" t="str">
        <f>VLOOKUP(Tableau2[[#This Row],[Colonne1]],Tableau124[#All],9,FALSE)</f>
        <v>csapa.lecreusot@addictions-france.org</v>
      </c>
      <c r="K88" s="482" t="str">
        <f>VLOOKUP(Tableau2[[#This Row],[Colonne1]],Tableau124[#All],10,FALSE)</f>
        <v>0385551121</v>
      </c>
      <c r="L88" s="502" t="str">
        <f>VLOOKUP(Tableau2[[#This Row],[Colonne1]],Tableau124[#All],11,FALSE)</f>
        <v xml:space="preserve"> </v>
      </c>
      <c r="M88" s="199" t="str">
        <f>VLOOKUP(Tableau2[[#This Row],[Colonne1]],Tableau124[#All],12,FALSE)</f>
        <v>Le lundi et le jeudi de 8h30h à 12h30 et de 13h à 17h30 sur rendez-vous</v>
      </c>
      <c r="N88" s="198" t="str">
        <f>VLOOKUP(Tableau2[[#This Row],[Colonne1]],Tableau124[#All],13,FALSE)</f>
        <v xml:space="preserve">  </v>
      </c>
    </row>
    <row r="89" spans="2:14" ht="86.45" customHeight="1">
      <c r="B89" s="196">
        <v>171</v>
      </c>
      <c r="C89" s="111" t="str">
        <f>VLOOKUP(Tableau2[[#This Row],[Colonne1]],Tableau124[#All],2,FALSE)</f>
        <v>Saône-et-Loire (71)</v>
      </c>
      <c r="D89" s="111" t="str">
        <f>VLOOKUP(Tableau2[[#This Row],[Colonne1]],Tableau124[#All],3,FALSE)</f>
        <v>Le Creusot</v>
      </c>
      <c r="E89" s="111" t="str">
        <f>VLOOKUP(Tableau2[[#This Row],[Colonne1]],Tableau124[#All],4,FALSE)</f>
        <v>71200</v>
      </c>
      <c r="F89" s="111" t="str">
        <f>VLOOKUP(Tableau2[[#This Row],[Colonne1]],Tableau124[#All],5,FALSE)</f>
        <v>GROUPE SOS - Hôtel-Dieu du Creusot -Site Harfleur
26 rue d'Harfleur</v>
      </c>
      <c r="G89" s="111" t="str">
        <f>VLOOKUP(Tableau2[[#This Row],[Colonne1]],Tableau124[#All],6,FALSE)</f>
        <v>Consultations Hospitalières externes d'addictologie</v>
      </c>
      <c r="H89" s="111" t="str">
        <f>VLOOKUP(Tableau2[[#This Row],[Colonne1]],Tableau124[#All],7,FALSE)</f>
        <v>GROUPE SOS - Hôtel-Dieu du Creusot</v>
      </c>
      <c r="I89" s="111" t="str">
        <f>VLOOKUP(Tableau2[[#This Row],[Colonne1]],Tableau124[#All],8,FALSE)</f>
        <v>Associatif</v>
      </c>
      <c r="J89" s="495" t="str">
        <f>VLOOKUP(Tableau2[[#This Row],[Colonne1]],Tableau124[#All],9,FALSE)</f>
        <v>ghforest@hoteldieu-creusot.fr</v>
      </c>
      <c r="K89" s="481" t="str">
        <f>VLOOKUP(Tableau2[[#This Row],[Colonne1]],Tableau124[#All],10,FALSE)</f>
        <v>03.85.77.74.85</v>
      </c>
      <c r="L89" s="495" t="str">
        <f>VLOOKUP(Tableau2[[#This Row],[Colonne1]],Tableau124[#All],11,FALSE)</f>
        <v>www.hopital-lecreusot.com</v>
      </c>
      <c r="M89" s="493" t="str">
        <f>VLOOKUP(Tableau2[[#This Row],[Colonne1]],Tableau124[#All],12,FALSE)</f>
        <v>lundi au vendredi (à voir avec l'équipe ELSA)</v>
      </c>
      <c r="N89" s="486" t="str">
        <f>VLOOKUP(Tableau2[[#This Row],[Colonne1]],Tableau124[#All],13,FALSE)</f>
        <v>Intervention auprès de public majeurs et mineurs</v>
      </c>
    </row>
    <row r="90" spans="2:14" ht="86.45" customHeight="1">
      <c r="B90" s="196">
        <v>63</v>
      </c>
      <c r="C90" s="156" t="str">
        <f>VLOOKUP(Tableau2[[#This Row],[Colonne1]],Tableau124[#All],2,FALSE)</f>
        <v>Doubs (25)</v>
      </c>
      <c r="D90" s="156" t="str">
        <f>VLOOKUP(Tableau2[[#This Row],[Colonne1]],Tableau124[#All],3,FALSE)</f>
        <v>L'Isle Sur Le Doubs</v>
      </c>
      <c r="E90" s="156">
        <f>VLOOKUP(Tableau2[[#This Row],[Colonne1]],Tableau124[#All],4,FALSE)</f>
        <v>25250</v>
      </c>
      <c r="F90" s="156" t="str">
        <f>VLOOKUP(Tableau2[[#This Row],[Colonne1]],Tableau124[#All],5,FALSE)</f>
        <v>54 Rue du Magny</v>
      </c>
      <c r="G90" s="156" t="str">
        <f>VLOOKUP(Tableau2[[#This Row],[Colonne1]],Tableau124[#All],6,FALSE)</f>
        <v>CSAPA (consultations avancées)</v>
      </c>
      <c r="H90" s="479" t="str">
        <f>VLOOKUP(Tableau2[[#This Row],[Colonne1]],Tableau124[#All],7,FALSE)</f>
        <v>CSAPA Le Relais Equinoxe - Association d'Hygiène Sociale de Franche Comté - consultations avancées</v>
      </c>
      <c r="I90" s="156" t="str">
        <f>VLOOKUP(Tableau2[[#This Row],[Colonne1]],Tableau124[#All],8,FALSE)</f>
        <v>Associatif</v>
      </c>
      <c r="J90" s="496" t="str">
        <f>VLOOKUP(Tableau2[[#This Row],[Colonne1]],Tableau124[#All],9,FALSE)</f>
        <v>pole-addictologie.nfc@afs-fc.fr</v>
      </c>
      <c r="K90" s="482" t="str">
        <f>VLOOKUP(Tableau2[[#This Row],[Colonne1]],Tableau124[#All],10,FALSE)</f>
        <v>03.81.99.37.04</v>
      </c>
      <c r="L90" s="496" t="str">
        <f>VLOOKUP(Tableau2[[#This Row],[Colonne1]],Tableau124[#All],11,FALSE)</f>
        <v>www.ahs-fc.fr</v>
      </c>
      <c r="M90" s="199" t="str">
        <f>VLOOKUP(Tableau2[[#This Row],[Colonne1]],Tableau124[#All],12,FALSE)</f>
        <v>1 mardi sur 2 de 10h à 16h</v>
      </c>
      <c r="N90" s="487" t="str">
        <f>VLOOKUP(Tableau2[[#This Row],[Colonne1]],Tableau124[#All],13,FALSE)</f>
        <v>Réalisation de consultations avancées</v>
      </c>
    </row>
    <row r="91" spans="2:14" ht="86.45" customHeight="1">
      <c r="B91" s="196">
        <v>64</v>
      </c>
      <c r="C91" s="156" t="str">
        <f>VLOOKUP(Tableau2[[#This Row],[Colonne1]],Tableau124[#All],2,FALSE)</f>
        <v>Doubs (25)</v>
      </c>
      <c r="D91" s="156" t="str">
        <f>VLOOKUP(Tableau2[[#This Row],[Colonne1]],Tableau124[#All],3,FALSE)</f>
        <v>L'Isle Sur Le Doubs</v>
      </c>
      <c r="E91" s="156">
        <f>VLOOKUP(Tableau2[[#This Row],[Colonne1]],Tableau124[#All],4,FALSE)</f>
        <v>25250</v>
      </c>
      <c r="F91" s="156" t="str">
        <f>VLOOKUP(Tableau2[[#This Row],[Colonne1]],Tableau124[#All],5,FALSE)</f>
        <v>Isle Santé 54 Rue du Magny</v>
      </c>
      <c r="G91" s="156" t="str">
        <f>VLOOKUP(Tableau2[[#This Row],[Colonne1]],Tableau124[#All],6,FALSE)</f>
        <v>CSAPA (consultations avancées)</v>
      </c>
      <c r="H91" s="156" t="str">
        <f>VLOOKUP(Tableau2[[#This Row],[Colonne1]],Tableau124[#All],7,FALSE)</f>
        <v>CSAPA SOLEA - ADDSEA Bourgogne Franche Comté - consultations avancées</v>
      </c>
      <c r="I91" s="156" t="str">
        <f>VLOOKUP(Tableau2[[#This Row],[Colonne1]],Tableau124[#All],8,FALSE)</f>
        <v>Associatif</v>
      </c>
      <c r="J91" s="496" t="str">
        <f>VLOOKUP(Tableau2[[#This Row],[Colonne1]],Tableau124[#All],9,FALSE)</f>
        <v>solea@addsea.fr</v>
      </c>
      <c r="K91" s="482" t="str">
        <f>VLOOKUP(Tableau2[[#This Row],[Colonne1]],Tableau124[#All],10,FALSE)</f>
        <v>03 81 83 03 32</v>
      </c>
      <c r="L91" s="502" t="str">
        <f>VLOOKUP(Tableau2[[#This Row],[Colonne1]],Tableau124[#All],11,FALSE)</f>
        <v xml:space="preserve"> </v>
      </c>
      <c r="M91" s="199" t="str">
        <f>VLOOKUP(Tableau2[[#This Row],[Colonne1]],Tableau124[#All],12,FALSE)</f>
        <v>semaine impaire de 9h à 17h</v>
      </c>
      <c r="N91" s="487" t="str">
        <f>VLOOKUP(Tableau2[[#This Row],[Colonne1]],Tableau124[#All],13,FALSE)</f>
        <v>Réalisation de consultations avancées</v>
      </c>
    </row>
    <row r="92" spans="2:14" ht="86.45" customHeight="1">
      <c r="B92" s="196">
        <v>128</v>
      </c>
      <c r="C92" s="203" t="str">
        <f>VLOOKUP(Tableau2[[#This Row],[Colonne1]],Tableau124[#All],2,FALSE)</f>
        <v>Jura (39)</v>
      </c>
      <c r="D92" s="505" t="str">
        <f>VLOOKUP(Tableau2[[#This Row],[Colonne1]],Tableau124[#All],3,FALSE)</f>
        <v>Lons Le Saunier</v>
      </c>
      <c r="E92" s="505" t="str">
        <f>VLOOKUP(Tableau2[[#This Row],[Colonne1]],Tableau124[#All],4,FALSE)</f>
        <v>39000</v>
      </c>
      <c r="F92" s="203" t="str">
        <f>VLOOKUP(Tableau2[[#This Row],[Colonne1]],Tableau124[#All],5,FALSE)</f>
        <v>8 rue Jules Bury</v>
      </c>
      <c r="G92" s="505" t="str">
        <f>VLOOKUP(Tableau2[[#This Row],[Colonne1]],Tableau124[#All],6,FALSE)</f>
        <v>CAARUD de réduction des risques et des dommages à distance</v>
      </c>
      <c r="H92" s="505" t="str">
        <f>VLOOKUP(Tableau2[[#This Row],[Colonne1]],Tableau124[#All],7,FALSE)</f>
        <v>CAARUD Oppelia Passerelle 39</v>
      </c>
      <c r="I92" s="505" t="str">
        <f>VLOOKUP(Tableau2[[#This Row],[Colonne1]],Tableau124[#All],8,FALSE)</f>
        <v>Associatif</v>
      </c>
      <c r="J92" s="497" t="str">
        <f>VLOOKUP(Tableau2[[#This Row],[Colonne1]],Tableau124[#All],9,FALSE)</f>
        <v>contactp39@oppelia.fr</v>
      </c>
      <c r="K92" s="483" t="str">
        <f>VLOOKUP(Tableau2[[#This Row],[Colonne1]],Tableau124[#All],10,FALSE)</f>
        <v>03 84 24 66 83</v>
      </c>
      <c r="L92" s="497" t="str">
        <f>VLOOKUP(Tableau2[[#This Row],[Colonne1]],Tableau124[#All],11,FALSE)</f>
        <v>https://www.oppelia.fr/etablissement/passerelle-39-lons-le-saunier/</v>
      </c>
      <c r="M92" s="494" t="str">
        <f>VLOOKUP(Tableau2[[#This Row],[Colonne1]],Tableau124[#All],12,FALSE)</f>
        <v>Accueil fixe: mardi de 13h30 à 17h00, mercredi de 8h00 à 12h30, jeudi de 16h30 à 20h00</v>
      </c>
      <c r="N92" s="488" t="str">
        <f>VLOOKUP(Tableau2[[#This Row],[Colonne1]],Tableau124[#All],13,FALSE)</f>
        <v>- Permanences d'accueil ou accueil sur rendez-vous
- unité mobile pouvant servir de lieu d'accueil (déplacements sur tout le département du Jura) ; 
- programme d'échange de seringues ;
- intervention en maraude ; 
- mise à disposition de matériel de consommation à moindre risque ;
- proposition de test rapide d'orientation diagnostic (TROD) ; 
- dispositif TAPAJ
- intervention en milieu festif ;
- intervention en milieu pénitentier à la Maison d'arrêt de Lons-le-Saunier.</v>
      </c>
    </row>
    <row r="93" spans="2:14" ht="86.45" customHeight="1">
      <c r="B93" s="196">
        <v>130</v>
      </c>
      <c r="C93" s="111" t="str">
        <f>VLOOKUP(Tableau2[[#This Row],[Colonne1]],Tableau124[#All],2,FALSE)</f>
        <v>Jura (39)</v>
      </c>
      <c r="D93" s="111" t="str">
        <f>VLOOKUP(Tableau2[[#This Row],[Colonne1]],Tableau124[#All],3,FALSE)</f>
        <v>Lons Le Saunier</v>
      </c>
      <c r="E93" s="111" t="str">
        <f>VLOOKUP(Tableau2[[#This Row],[Colonne1]],Tableau124[#All],4,FALSE)</f>
        <v>39000</v>
      </c>
      <c r="F93" s="111" t="str">
        <f>VLOOKUP(Tableau2[[#This Row],[Colonne1]],Tableau124[#All],5,FALSE)</f>
        <v>Pavillon B, 3ème étage.
55 Rue du Dr Jean Michel</v>
      </c>
      <c r="G93" s="111" t="str">
        <f>VLOOKUP(Tableau2[[#This Row],[Colonne1]],Tableau124[#All],6,FALSE)</f>
        <v>Consultations Hospitalières externes d'addictologie</v>
      </c>
      <c r="H93" s="111" t="str">
        <f>VLOOKUP(Tableau2[[#This Row],[Colonne1]],Tableau124[#All],7,FALSE)</f>
        <v>Centre Hospitalier de Lons le Saunier</v>
      </c>
      <c r="I93" s="111" t="str">
        <f>VLOOKUP(Tableau2[[#This Row],[Colonne1]],Tableau124[#All],8,FALSE)</f>
        <v>Public</v>
      </c>
      <c r="J93" s="311" t="str">
        <f>VLOOKUP(Tableau2[[#This Row],[Colonne1]],Tableau124[#All],9,FALSE)</f>
        <v>direction.generale@hopitaux-jura.fr</v>
      </c>
      <c r="K93" s="239" t="str">
        <f>VLOOKUP(Tableau2[[#This Row],[Colonne1]],Tableau124[#All],10,FALSE)</f>
        <v>03 84 35 60 00</v>
      </c>
      <c r="L93" s="311" t="str">
        <f>VLOOKUP(Tableau2[[#This Row],[Colonne1]],Tableau124[#All],11,FALSE)</f>
        <v>https://hopitaux-jura.fr/</v>
      </c>
      <c r="M93" s="129" t="str">
        <f>VLOOKUP(Tableau2[[#This Row],[Colonne1]],Tableau124[#All],12,FALSE)</f>
        <v>Tous les jours (ouvrables) plutôt l'après-midi (mais aussi le matin si urgence).</v>
      </c>
      <c r="N93" s="486" t="str">
        <f>VLOOKUP(Tableau2[[#This Row],[Colonne1]],Tableau124[#All],13,FALSE)</f>
        <v>Intervention auprès de public majeurs et mineurs</v>
      </c>
    </row>
    <row r="94" spans="2:14" ht="86.45" customHeight="1">
      <c r="B94" s="196">
        <v>131</v>
      </c>
      <c r="C94" s="156" t="str">
        <f>VLOOKUP(Tableau2[[#This Row],[Colonne1]],Tableau124[#All],2,FALSE)</f>
        <v>Jura (39)</v>
      </c>
      <c r="D94" s="156" t="str">
        <f>VLOOKUP(Tableau2[[#This Row],[Colonne1]],Tableau124[#All],3,FALSE)</f>
        <v>Lons Le Saunier</v>
      </c>
      <c r="E94" s="156" t="str">
        <f>VLOOKUP(Tableau2[[#This Row],[Colonne1]],Tableau124[#All],4,FALSE)</f>
        <v>39000</v>
      </c>
      <c r="F94" s="156" t="str">
        <f>VLOOKUP(Tableau2[[#This Row],[Colonne1]],Tableau124[#All],5,FALSE)</f>
        <v>1, Rue de Balerne</v>
      </c>
      <c r="G94" s="156" t="str">
        <f>VLOOKUP(Tableau2[[#This Row],[Colonne1]],Tableau124[#All],6,FALSE)</f>
        <v>CSAPA</v>
      </c>
      <c r="H94" s="156" t="str">
        <f>VLOOKUP(Tableau2[[#This Row],[Colonne1]],Tableau124[#All],7,FALSE)</f>
        <v>CSAPA de l'ADLCA</v>
      </c>
      <c r="I94" s="156" t="str">
        <f>VLOOKUP(Tableau2[[#This Row],[Colonne1]],Tableau124[#All],8,FALSE)</f>
        <v>Associatif</v>
      </c>
      <c r="J94" s="318" t="str">
        <f>VLOOKUP(Tableau2[[#This Row],[Colonne1]],Tableau124[#All],9,FALSE)</f>
        <v>lons@csapa-adlca.fr</v>
      </c>
      <c r="K94" s="238" t="str">
        <f>VLOOKUP(Tableau2[[#This Row],[Colonne1]],Tableau124[#All],10,FALSE)</f>
        <v>0384240571</v>
      </c>
      <c r="L94" s="318" t="str">
        <f>VLOOKUP(Tableau2[[#This Row],[Colonne1]],Tableau124[#All],11,FALSE)</f>
        <v>https://csapa-adlca.fr/</v>
      </c>
      <c r="M94" s="101" t="str">
        <f>VLOOKUP(Tableau2[[#This Row],[Colonne1]],Tableau124[#All],12,FALSE)</f>
        <v>Lundi au vendredi 8h30-17h30</v>
      </c>
      <c r="N94" s="492" t="str">
        <f>VLOOKUP(Tableau2[[#This Row],[Colonne1]],Tableau124[#All],13,FALSE)</f>
        <v>- Réalisation de consultations avancées sur Cousance et Salins-les-Bains ;
- intervention en milieu pénitentiaire à la maison d'arrêt de Lons-le-Saunier ;
- mise à disposition de matériel de consommation à moindre risque ;
- dispositifs anti-overdose à disposition ; 
- présence d'une CJC.</v>
      </c>
    </row>
    <row r="95" spans="2:14" ht="86.45" customHeight="1">
      <c r="B95" s="196">
        <v>129</v>
      </c>
      <c r="C95" s="508" t="str">
        <f>VLOOKUP(Tableau2[[#This Row],[Colonne1]],Tableau124[#All],2,FALSE)</f>
        <v>Jura (39)</v>
      </c>
      <c r="D95" s="507" t="str">
        <f>VLOOKUP(Tableau2[[#This Row],[Colonne1]],Tableau124[#All],3,FALSE)</f>
        <v>Lons Le Saunier</v>
      </c>
      <c r="E95" s="507" t="str">
        <f>VLOOKUP(Tableau2[[#This Row],[Colonne1]],Tableau124[#All],4,FALSE)</f>
        <v>39000</v>
      </c>
      <c r="F95" s="508" t="str">
        <f>VLOOKUP(Tableau2[[#This Row],[Colonne1]],Tableau124[#All],5,FALSE)</f>
        <v>1, Rue de Balerne</v>
      </c>
      <c r="G95" s="507" t="str">
        <f>VLOOKUP(Tableau2[[#This Row],[Colonne1]],Tableau124[#All],6,FALSE)</f>
        <v>CJC</v>
      </c>
      <c r="H95" s="507" t="str">
        <f>VLOOKUP(Tableau2[[#This Row],[Colonne1]],Tableau124[#All],7,FALSE)</f>
        <v>CSAPA de l'ADLCA</v>
      </c>
      <c r="I95" s="507" t="str">
        <f>VLOOKUP(Tableau2[[#This Row],[Colonne1]],Tableau124[#All],8,FALSE)</f>
        <v>Associatif</v>
      </c>
      <c r="J95" s="522" t="str">
        <f>VLOOKUP(Tableau2[[#This Row],[Colonne1]],Tableau124[#All],9,FALSE)</f>
        <v>lons@csapa-adlca.fr</v>
      </c>
      <c r="K95" s="509" t="str">
        <f>VLOOKUP(Tableau2[[#This Row],[Colonne1]],Tableau124[#All],10,FALSE)</f>
        <v>0384240571</v>
      </c>
      <c r="L95" s="522" t="str">
        <f>VLOOKUP(Tableau2[[#This Row],[Colonne1]],Tableau124[#All],11,FALSE)</f>
        <v>https://csapa-adlca.fr/</v>
      </c>
      <c r="M95" s="523" t="str">
        <f>VLOOKUP(Tableau2[[#This Row],[Colonne1]],Tableau124[#All],12,FALSE)</f>
        <v>1er et 3ème mercredi de chaque mois de 14h à 17h à Lons
1er mercredi de chaque mois le matin et 3ème mercredi du mois après midi sur Arbois</v>
      </c>
      <c r="N95" s="524" t="str">
        <f>VLOOKUP(Tableau2[[#This Row],[Colonne1]],Tableau124[#All],13,FALSE)</f>
        <v xml:space="preserve">- Accueil des familles ; 
- Orientation sur rendez-vous ;
- CJC accessible à la famille et l'entourage ; 
- locaux identiques à ceux du CSAPA. </v>
      </c>
    </row>
    <row r="96" spans="2:14" ht="86.45" customHeight="1">
      <c r="B96" s="196">
        <v>132</v>
      </c>
      <c r="C96" s="156" t="str">
        <f>VLOOKUP(Tableau2[[#This Row],[Colonne1]],Tableau124[#All],2,FALSE)</f>
        <v>Jura (39)</v>
      </c>
      <c r="D96" s="156" t="str">
        <f>VLOOKUP(Tableau2[[#This Row],[Colonne1]],Tableau124[#All],3,FALSE)</f>
        <v>Lons Le Saunier</v>
      </c>
      <c r="E96" s="156" t="str">
        <f>VLOOKUP(Tableau2[[#This Row],[Colonne1]],Tableau124[#All],4,FALSE)</f>
        <v>39000</v>
      </c>
      <c r="F96" s="156" t="str">
        <f>VLOOKUP(Tableau2[[#This Row],[Colonne1]],Tableau124[#All],5,FALSE)</f>
        <v>15 Av. d'Offenbourg</v>
      </c>
      <c r="G96" s="156" t="str">
        <f>VLOOKUP(Tableau2[[#This Row],[Colonne1]],Tableau124[#All],6,FALSE)</f>
        <v>CSAPA</v>
      </c>
      <c r="H96" s="156" t="str">
        <f>VLOOKUP(Tableau2[[#This Row],[Colonne1]],Tableau124[#All],7,FALSE)</f>
        <v>CSAPA Oppelia Passerelle 39</v>
      </c>
      <c r="I96" s="156" t="str">
        <f>VLOOKUP(Tableau2[[#This Row],[Colonne1]],Tableau124[#All],8,FALSE)</f>
        <v>Associatif</v>
      </c>
      <c r="J96" s="496" t="str">
        <f>VLOOKUP(Tableau2[[#This Row],[Colonne1]],Tableau124[#All],9,FALSE)</f>
        <v>contactp39@oppelia.fr</v>
      </c>
      <c r="K96" s="482" t="str">
        <f>VLOOKUP(Tableau2[[#This Row],[Colonne1]],Tableau124[#All],10,FALSE)</f>
        <v>03 84 24 66 83</v>
      </c>
      <c r="L96" s="496" t="str">
        <f>VLOOKUP(Tableau2[[#This Row],[Colonne1]],Tableau124[#All],11,FALSE)</f>
        <v>https://www.oppelia.fr/etablissement/passerelle-39-lons-le-saunier/</v>
      </c>
      <c r="M96" s="199" t="str">
        <f>VLOOKUP(Tableau2[[#This Row],[Colonne1]],Tableau124[#All],12,FALSE)</f>
        <v>Lundi , Mercredi: 9h00 - 18h00
Mardi: 9h00 - 20h00
jeudi : 13h30 -18h00
Vendredi: 9h00 - 17h30
Secrétariat: tous les jours de 9h00 à 12h30 et de 13h30 à 17h00 (sauf le jeudi matin)</v>
      </c>
      <c r="N96" s="492" t="str">
        <f>VLOOKUP(Tableau2[[#This Row],[Colonne1]],Tableau124[#All],13,FALSE)</f>
        <v>- suivi médico-psycho-social : accueil, entretiens, consultations ; 
- mise à disposition de matériel de consommation à moindre risque ;
- proposition de test rapide d'orientation diagnostic (TROD) ; 
- dispositifs anti-overdose à disposition ; 
- présence d'une CJC; 
- présence d'une équipe mobile.</v>
      </c>
    </row>
    <row r="97" spans="2:14" ht="86.45" customHeight="1">
      <c r="B97" s="196">
        <v>174</v>
      </c>
      <c r="C97" s="156" t="str">
        <f>VLOOKUP(Tableau2[[#This Row],[Colonne1]],Tableau124[#All],2,FALSE)</f>
        <v>Saône-et-Loire (71)</v>
      </c>
      <c r="D97" s="156" t="str">
        <f>VLOOKUP(Tableau2[[#This Row],[Colonne1]],Tableau124[#All],3,FALSE)</f>
        <v>Louhans</v>
      </c>
      <c r="E97" s="156" t="str">
        <f>VLOOKUP(Tableau2[[#This Row],[Colonne1]],Tableau124[#All],4,FALSE)</f>
        <v>71100</v>
      </c>
      <c r="F97" s="156" t="str">
        <f>VLOOKUP(Tableau2[[#This Row],[Colonne1]],Tableau124[#All],5,FALSE)</f>
        <v>1 rue du Gruay</v>
      </c>
      <c r="G97" s="156" t="str">
        <f>VLOOKUP(Tableau2[[#This Row],[Colonne1]],Tableau124[#All],6,FALSE)</f>
        <v>Antenne CSAPA</v>
      </c>
      <c r="H97" s="156" t="str">
        <f>VLOOKUP(Tableau2[[#This Row],[Colonne1]],Tableau124[#All],7,FALSE)</f>
        <v>CSAPA KAIRN71 - SAUVEGARDE71</v>
      </c>
      <c r="I97" s="156" t="str">
        <f>VLOOKUP(Tableau2[[#This Row],[Colonne1]],Tableau124[#All],8,FALSE)</f>
        <v>Associatif</v>
      </c>
      <c r="J97" s="496" t="str">
        <f>VLOOKUP(Tableau2[[#This Row],[Colonne1]],Tableau124[#All],9,FALSE)</f>
        <v>kairn71@sauvegarde71.fr</v>
      </c>
      <c r="K97" s="482" t="str">
        <f>VLOOKUP(Tableau2[[#This Row],[Colonne1]],Tableau124[#All],10,FALSE)</f>
        <v>0385909060</v>
      </c>
      <c r="L97" s="324" t="str">
        <f>VLOOKUP(Tableau2[[#This Row],[Colonne1]],Tableau124[#All],11,FALSE)</f>
        <v xml:space="preserve">  </v>
      </c>
      <c r="M97" s="199" t="str">
        <f>VLOOKUP(Tableau2[[#This Row],[Colonne1]],Tableau124[#All],12,FALSE)</f>
        <v>lundi = 10h-13h / mardi = 10h-13h 13h30-17h / mercredi = 10h-13h 13h30-17h / jeudi = 10h-12h30 13h30-18h / vendredi = 10h-12h</v>
      </c>
      <c r="N97" s="258" t="str">
        <f>VLOOKUP(Tableau2[[#This Row],[Colonne1]],Tableau124[#All],13,FALSE)</f>
        <v xml:space="preserve">  </v>
      </c>
    </row>
    <row r="98" spans="2:14" ht="86.45" customHeight="1">
      <c r="B98" s="196">
        <v>94</v>
      </c>
      <c r="C98" s="156" t="str">
        <f>VLOOKUP(Tableau2[[#This Row],[Colonne1]],Tableau124[#All],2,FALSE)</f>
        <v>Haute-Saône (70)</v>
      </c>
      <c r="D98" s="156" t="str">
        <f>VLOOKUP(Tableau2[[#This Row],[Colonne1]],Tableau124[#All],3,FALSE)</f>
        <v>Lure</v>
      </c>
      <c r="E98" s="156">
        <f>VLOOKUP(Tableau2[[#This Row],[Colonne1]],Tableau124[#All],4,FALSE)</f>
        <v>70200</v>
      </c>
      <c r="F98" s="156" t="str">
        <f>VLOOKUP(Tableau2[[#This Row],[Colonne1]],Tableau124[#All],5,FALSE)</f>
        <v>CMP - 4, rue Parmentier</v>
      </c>
      <c r="G98" s="156" t="str">
        <f>VLOOKUP(Tableau2[[#This Row],[Colonne1]],Tableau124[#All],6,FALSE)</f>
        <v>CSAPA (consultations avancées)</v>
      </c>
      <c r="H98" s="156" t="str">
        <f>VLOOKUP(Tableau2[[#This Row],[Colonne1]],Tableau124[#All],7,FALSE)</f>
        <v>Association Addictions France en Haute-Saône - consultations avancées</v>
      </c>
      <c r="I98" s="156" t="str">
        <f>VLOOKUP(Tableau2[[#This Row],[Colonne1]],Tableau124[#All],8,FALSE)</f>
        <v>Associatif</v>
      </c>
      <c r="J98" s="496" t="str">
        <f>VLOOKUP(Tableau2[[#This Row],[Colonne1]],Tableau124[#All],9,FALSE)</f>
        <v>csapa.vesoul@addictions-france.org</v>
      </c>
      <c r="K98" s="482" t="str">
        <f>VLOOKUP(Tableau2[[#This Row],[Colonne1]],Tableau124[#All],10,FALSE)</f>
        <v>03-84-76-75-75</v>
      </c>
      <c r="L98" s="496" t="str">
        <f>VLOOKUP(Tableau2[[#This Row],[Colonne1]],Tableau124[#All],11,FALSE)</f>
        <v>https://addictions-france.org</v>
      </c>
      <c r="M98" s="199" t="str">
        <f>VLOOKUP(Tableau2[[#This Row],[Colonne1]],Tableau124[#All],12,FALSE)</f>
        <v>Lundi 9h-12h30</v>
      </c>
      <c r="N98" s="487" t="str">
        <f>VLOOKUP(Tableau2[[#This Row],[Colonne1]],Tableau124[#All],13,FALSE)</f>
        <v>Réalisation de consultations avancées</v>
      </c>
    </row>
    <row r="99" spans="2:14" ht="86.45" customHeight="1">
      <c r="B99" s="196">
        <v>95</v>
      </c>
      <c r="C99" s="156" t="str">
        <f>VLOOKUP(Tableau2[[#This Row],[Colonne1]],Tableau124[#All],2,FALSE)</f>
        <v>Haute-Saône (70)</v>
      </c>
      <c r="D99" s="156" t="str">
        <f>VLOOKUP(Tableau2[[#This Row],[Colonne1]],Tableau124[#All],3,FALSE)</f>
        <v>Lure</v>
      </c>
      <c r="E99" s="156">
        <f>VLOOKUP(Tableau2[[#This Row],[Colonne1]],Tableau124[#All],4,FALSE)</f>
        <v>70200</v>
      </c>
      <c r="F99" s="156" t="str">
        <f>VLOOKUP(Tableau2[[#This Row],[Colonne1]],Tableau124[#All],5,FALSE)</f>
        <v>Centre de Périnatalité de Proximité de Lure, 37 rue Carnot</v>
      </c>
      <c r="G99" s="156" t="str">
        <f>VLOOKUP(Tableau2[[#This Row],[Colonne1]],Tableau124[#All],6,FALSE)</f>
        <v>CSAPA (consultations avancées)</v>
      </c>
      <c r="H99" s="156" t="str">
        <f>VLOOKUP(Tableau2[[#This Row],[Colonne1]],Tableau124[#All],7,FALSE)</f>
        <v xml:space="preserve">CSAPA - Association Addictions France - consultations avancées - Centre de Périnatalité de Proximité de Lure </v>
      </c>
      <c r="I99" s="156" t="str">
        <f>VLOOKUP(Tableau2[[#This Row],[Colonne1]],Tableau124[#All],8,FALSE)</f>
        <v>Associatif</v>
      </c>
      <c r="J99" s="496" t="str">
        <f>VLOOKUP(Tableau2[[#This Row],[Colonne1]],Tableau124[#All],9,FALSE)</f>
        <v>luref.lorenzi@chi70.fr</v>
      </c>
      <c r="K99" s="482" t="str">
        <f>VLOOKUP(Tableau2[[#This Row],[Colonne1]],Tableau124[#All],10,FALSE)</f>
        <v>03 84 62 43 57</v>
      </c>
      <c r="L99" s="318" t="str">
        <f>VLOOKUP(Tableau2[[#This Row],[Colonne1]],Tableau124[#All],11,FALSE)</f>
        <v>www.addictions-france.org</v>
      </c>
      <c r="M99" s="199" t="str">
        <f>VLOOKUP(Tableau2[[#This Row],[Colonne1]],Tableau124[#All],12,FALSE)</f>
        <v>Le lundi, mercredi et jeudi de 08h00 à 12h00 et de 13h30 à 16h30, le mardi, vendredi de 08h30 à 16h30 au 03 84 62 43 57</v>
      </c>
      <c r="N99" s="487" t="str">
        <f>VLOOKUP(Tableau2[[#This Row],[Colonne1]],Tableau124[#All],13,FALSE)</f>
        <v>Réalisation de consultations avancées</v>
      </c>
    </row>
    <row r="100" spans="2:14" ht="86.45" customHeight="1">
      <c r="B100" s="196">
        <v>93</v>
      </c>
      <c r="C100" s="111" t="str">
        <f>VLOOKUP(Tableau2[[#This Row],[Colonne1]],Tableau124[#All],2,FALSE)</f>
        <v>Haute-Saône (70)</v>
      </c>
      <c r="D100" s="111" t="str">
        <f>VLOOKUP(Tableau2[[#This Row],[Colonne1]],Tableau124[#All],3,FALSE)</f>
        <v>Lure</v>
      </c>
      <c r="E100" s="111">
        <f>VLOOKUP(Tableau2[[#This Row],[Colonne1]],Tableau124[#All],4,FALSE)</f>
        <v>70200</v>
      </c>
      <c r="F100" s="111" t="str">
        <f>VLOOKUP(Tableau2[[#This Row],[Colonne1]],Tableau124[#All],5,FALSE)</f>
        <v>37 rue Carnot</v>
      </c>
      <c r="G100" s="111" t="str">
        <f>VLOOKUP(Tableau2[[#This Row],[Colonne1]],Tableau124[#All],6,FALSE)</f>
        <v>Consultations Hospitalières externes d'addictologie (autre lieu d'intervention)</v>
      </c>
      <c r="H100" s="111" t="str">
        <f>VLOOKUP(Tableau2[[#This Row],[Colonne1]],Tableau124[#All],7,FALSE)</f>
        <v>Consultation d'addictologie et de tabacologie (Groupe Hospitalier de la Haute-Saône (GH70))</v>
      </c>
      <c r="I100" s="111" t="str">
        <f>VLOOKUP(Tableau2[[#This Row],[Colonne1]],Tableau124[#All],8,FALSE)</f>
        <v>Public</v>
      </c>
      <c r="J100" s="495" t="str">
        <f>VLOOKUP(Tableau2[[#This Row],[Colonne1]],Tableau124[#All],9,FALSE)</f>
        <v>contact@gh70.fr</v>
      </c>
      <c r="K100" s="481" t="str">
        <f>VLOOKUP(Tableau2[[#This Row],[Colonne1]],Tableau124[#All],10,FALSE)</f>
        <v>03 84 62 43 82</v>
      </c>
      <c r="L100" s="495" t="str">
        <f>VLOOKUP(Tableau2[[#This Row],[Colonne1]],Tableau124[#All],11,FALSE)</f>
        <v>https://www.gh70.fr</v>
      </c>
      <c r="M100" s="493" t="str">
        <f>VLOOKUP(Tableau2[[#This Row],[Colonne1]],Tableau124[#All],12,FALSE)</f>
        <v>9h - 17h du lundi au vendredi</v>
      </c>
      <c r="N100" s="486" t="str">
        <f>VLOOKUP(Tableau2[[#This Row],[Colonne1]],Tableau124[#All],13,FALSE)</f>
        <v>Intervention auprès de public majeurs et mineurs ainsi qu'au Groupe Hospitalier de la Haute-Saône (GH70)</v>
      </c>
    </row>
    <row r="101" spans="2:14" ht="86.45" customHeight="1">
      <c r="B101" s="196">
        <v>96</v>
      </c>
      <c r="C101" s="156" t="str">
        <f>VLOOKUP(Tableau2[[#This Row],[Colonne1]],Tableau124[#All],2,FALSE)</f>
        <v>Haute-Saône (70)</v>
      </c>
      <c r="D101" s="156" t="str">
        <f>VLOOKUP(Tableau2[[#This Row],[Colonne1]],Tableau124[#All],3,FALSE)</f>
        <v>Luxeuil-Les-Bains</v>
      </c>
      <c r="E101" s="156">
        <f>VLOOKUP(Tableau2[[#This Row],[Colonne1]],Tableau124[#All],4,FALSE)</f>
        <v>70300</v>
      </c>
      <c r="F101" s="156" t="str">
        <f>VLOOKUP(Tableau2[[#This Row],[Colonne1]],Tableau124[#All],5,FALSE)</f>
        <v>Groupe Hospitalier - 2, rue Grammont</v>
      </c>
      <c r="G101" s="156" t="str">
        <f>VLOOKUP(Tableau2[[#This Row],[Colonne1]],Tableau124[#All],6,FALSE)</f>
        <v>Antenne CSAPA</v>
      </c>
      <c r="H101" s="156" t="str">
        <f>VLOOKUP(Tableau2[[#This Row],[Colonne1]],Tableau124[#All],7,FALSE)</f>
        <v>Association Addictions France en Haute-Saône</v>
      </c>
      <c r="I101" s="156" t="str">
        <f>VLOOKUP(Tableau2[[#This Row],[Colonne1]],Tableau124[#All],8,FALSE)</f>
        <v>Associatif</v>
      </c>
      <c r="J101" s="496" t="str">
        <f>VLOOKUP(Tableau2[[#This Row],[Colonne1]],Tableau124[#All],9,FALSE)</f>
        <v>csapa.vesoul@addicitions-france.org</v>
      </c>
      <c r="K101" s="482" t="str">
        <f>VLOOKUP(Tableau2[[#This Row],[Colonne1]],Tableau124[#All],10,FALSE)</f>
        <v>03-84-76-75-75</v>
      </c>
      <c r="L101" s="503" t="str">
        <f>VLOOKUP(Tableau2[[#This Row],[Colonne1]],Tableau124[#All],11,FALSE)</f>
        <v>https://addictions-france.org</v>
      </c>
      <c r="M101" s="199" t="str">
        <f>VLOOKUP(Tableau2[[#This Row],[Colonne1]],Tableau124[#All],12,FALSE)</f>
        <v>Mardi 9h-12h30/13h30-17h - Mercredi 9h-12h30 - Jeudi 9h-12h - Vendredi 9h-12h30/13h-16h30</v>
      </c>
      <c r="N101" s="198" t="str">
        <f>VLOOKUP(Tableau2[[#This Row],[Colonne1]],Tableau124[#All],13,FALSE)</f>
        <v xml:space="preserve">  </v>
      </c>
    </row>
    <row r="102" spans="2:14" ht="86.45" customHeight="1">
      <c r="B102" s="196">
        <v>98</v>
      </c>
      <c r="C102" s="156" t="str">
        <f>VLOOKUP(Tableau2[[#This Row],[Colonne1]],Tableau124[#All],2,FALSE)</f>
        <v>Haute-Saône (70)</v>
      </c>
      <c r="D102" s="479" t="str">
        <f>VLOOKUP(Tableau2[[#This Row],[Colonne1]],Tableau124[#All],3,FALSE)</f>
        <v>Luxeuil-Les-Bains</v>
      </c>
      <c r="E102" s="479">
        <f>VLOOKUP(Tableau2[[#This Row],[Colonne1]],Tableau124[#All],4,FALSE)</f>
        <v>70300</v>
      </c>
      <c r="F102" s="156" t="str">
        <f>VLOOKUP(Tableau2[[#This Row],[Colonne1]],Tableau124[#All],5,FALSE)</f>
        <v>MDA de Luxeuil-les-Bains - Place du 8 mai 1945</v>
      </c>
      <c r="G102" s="479" t="str">
        <f>VLOOKUP(Tableau2[[#This Row],[Colonne1]],Tableau124[#All],6,FALSE)</f>
        <v>CSAPA (consultations avancées)</v>
      </c>
      <c r="H102" s="479" t="str">
        <f>VLOOKUP(Tableau2[[#This Row],[Colonne1]],Tableau124[#All],7,FALSE)</f>
        <v>Association Addictions France en Haute-Saône - consultations avancées</v>
      </c>
      <c r="I102" s="479" t="str">
        <f>VLOOKUP(Tableau2[[#This Row],[Colonne1]],Tableau124[#All],8,FALSE)</f>
        <v>Associatif</v>
      </c>
      <c r="J102" s="496" t="str">
        <f>VLOOKUP(Tableau2[[#This Row],[Colonne1]],Tableau124[#All],9,FALSE)</f>
        <v>bfc70@addictions-france.org</v>
      </c>
      <c r="K102" s="482" t="str">
        <f>VLOOKUP(Tableau2[[#This Row],[Colonne1]],Tableau124[#All],10,FALSE)</f>
        <v>03-84-76-75-80</v>
      </c>
      <c r="L102" s="496" t="str">
        <f>VLOOKUP(Tableau2[[#This Row],[Colonne1]],Tableau124[#All],11,FALSE)</f>
        <v>https://addictions-france.org</v>
      </c>
      <c r="M102" s="199" t="str">
        <f>VLOOKUP(Tableau2[[#This Row],[Colonne1]],Tableau124[#All],12,FALSE)</f>
        <v>Lundi 14h-17h30</v>
      </c>
      <c r="N102" s="487" t="str">
        <f>VLOOKUP(Tableau2[[#This Row],[Colonne1]],Tableau124[#All],13,FALSE)</f>
        <v>Réalisation de consultations avancées</v>
      </c>
    </row>
    <row r="103" spans="2:14" ht="86.45" customHeight="1">
      <c r="B103" s="196">
        <v>99</v>
      </c>
      <c r="C103" s="156" t="str">
        <f>VLOOKUP(Tableau2[[#This Row],[Colonne1]],Tableau124[#All],2,FALSE)</f>
        <v>Haute-Saône (70)</v>
      </c>
      <c r="D103" s="156" t="str">
        <f>VLOOKUP(Tableau2[[#This Row],[Colonne1]],Tableau124[#All],3,FALSE)</f>
        <v>Luxeuil-Les-Bains</v>
      </c>
      <c r="E103" s="156">
        <f>VLOOKUP(Tableau2[[#This Row],[Colonne1]],Tableau124[#All],4,FALSE)</f>
        <v>70300</v>
      </c>
      <c r="F103" s="156" t="str">
        <f>VLOOKUP(Tableau2[[#This Row],[Colonne1]],Tableau124[#All],5,FALSE)</f>
        <v>Centre de Périnatalité de Proximité de Luxueil, 12 rue Grammont</v>
      </c>
      <c r="G103" s="156" t="str">
        <f>VLOOKUP(Tableau2[[#This Row],[Colonne1]],Tableau124[#All],6,FALSE)</f>
        <v>CSAPA (consultations avancées)</v>
      </c>
      <c r="H103" s="156" t="str">
        <f>VLOOKUP(Tableau2[[#This Row],[Colonne1]],Tableau124[#All],7,FALSE)</f>
        <v xml:space="preserve">CSAPA - Association Addictions France - consultations avancées - Centre de Périnatalité de Proximité de Luxueil </v>
      </c>
      <c r="I103" s="156" t="str">
        <f>VLOOKUP(Tableau2[[#This Row],[Colonne1]],Tableau124[#All],8,FALSE)</f>
        <v>Associatif</v>
      </c>
      <c r="J103" s="318" t="str">
        <f>VLOOKUP(Tableau2[[#This Row],[Colonne1]],Tableau124[#All],9,FALSE)</f>
        <v>csapa.vesoul@addictions-france.org</v>
      </c>
      <c r="K103" s="238" t="str">
        <f>VLOOKUP(Tableau2[[#This Row],[Colonne1]],Tableau124[#All],10,FALSE)</f>
        <v>03-84-76-75-75</v>
      </c>
      <c r="L103" s="496" t="str">
        <f>VLOOKUP(Tableau2[[#This Row],[Colonne1]],Tableau124[#All],11,FALSE)</f>
        <v>https://addictions-france.org</v>
      </c>
      <c r="M103" s="101" t="str">
        <f>VLOOKUP(Tableau2[[#This Row],[Colonne1]],Tableau124[#All],12,FALSE)</f>
        <v>Du lundi au mercredi de 08h00 à 12h00 et de 13h30 à 17h00, le jeudi de 08h00 à 12h00 et de 14h00 à 18h00, le Vendredi 10h-12h30/13h30-16h</v>
      </c>
      <c r="N103" s="101" t="str">
        <f>VLOOKUP(Tableau2[[#This Row],[Colonne1]],Tableau124[#All],13,FALSE)</f>
        <v>Réalisation de consultations avancées</v>
      </c>
    </row>
    <row r="104" spans="2:14" ht="86.45" customHeight="1">
      <c r="B104" s="196">
        <v>97</v>
      </c>
      <c r="C104" s="111" t="str">
        <f>VLOOKUP(Tableau2[[#This Row],[Colonne1]],Tableau124[#All],2,FALSE)</f>
        <v>Haute-Saône (70)</v>
      </c>
      <c r="D104" s="111" t="str">
        <f>VLOOKUP(Tableau2[[#This Row],[Colonne1]],Tableau124[#All],3,FALSE)</f>
        <v>Luxeuil-Les-Bains</v>
      </c>
      <c r="E104" s="111">
        <f>VLOOKUP(Tableau2[[#This Row],[Colonne1]],Tableau124[#All],4,FALSE)</f>
        <v>70300</v>
      </c>
      <c r="F104" s="111" t="str">
        <f>VLOOKUP(Tableau2[[#This Row],[Colonne1]],Tableau124[#All],5,FALSE)</f>
        <v>12 rue Grammont</v>
      </c>
      <c r="G104" s="111" t="str">
        <f>VLOOKUP(Tableau2[[#This Row],[Colonne1]],Tableau124[#All],6,FALSE)</f>
        <v>Consultations Hospitalières externes d'addictologie (autre lieu d'intervention)</v>
      </c>
      <c r="H104" s="111" t="str">
        <f>VLOOKUP(Tableau2[[#This Row],[Colonne1]],Tableau124[#All],7,FALSE)</f>
        <v>Consultation d'addictologie et de tabacologie (Groupe Hospitalier de la Haute-Saône (GH70))</v>
      </c>
      <c r="I104" s="111" t="str">
        <f>VLOOKUP(Tableau2[[#This Row],[Colonne1]],Tableau124[#All],8,FALSE)</f>
        <v>Public</v>
      </c>
      <c r="J104" s="495" t="str">
        <f>VLOOKUP(Tableau2[[#This Row],[Colonne1]],Tableau124[#All],9,FALSE)</f>
        <v>contact@gh70.fr</v>
      </c>
      <c r="K104" s="481" t="str">
        <f>VLOOKUP(Tableau2[[#This Row],[Colonne1]],Tableau124[#All],10,FALSE)</f>
        <v>03 84 62 43 82</v>
      </c>
      <c r="L104" s="495" t="str">
        <f>VLOOKUP(Tableau2[[#This Row],[Colonne1]],Tableau124[#All],11,FALSE)</f>
        <v>https://www.gh70.fr</v>
      </c>
      <c r="M104" s="493" t="str">
        <f>VLOOKUP(Tableau2[[#This Row],[Colonne1]],Tableau124[#All],12,FALSE)</f>
        <v>mardi matin</v>
      </c>
      <c r="N104" s="486" t="str">
        <f>VLOOKUP(Tableau2[[#This Row],[Colonne1]],Tableau124[#All],13,FALSE)</f>
        <v>Intervention auprès de public majeurs et mineurs ainsi qu'au Groupe Hospitalier de la Haute-Saône (GH70)</v>
      </c>
    </row>
    <row r="105" spans="2:14" ht="86.45" customHeight="1">
      <c r="B105" s="196">
        <v>100</v>
      </c>
      <c r="C105" s="508" t="str">
        <f>VLOOKUP(Tableau2[[#This Row],[Colonne1]],Tableau124[#All],2,FALSE)</f>
        <v>Haute-Saône (70)</v>
      </c>
      <c r="D105" s="519" t="str">
        <f>VLOOKUP(Tableau2[[#This Row],[Colonne1]],Tableau124[#All],3,FALSE)</f>
        <v>Luxueil-les-Bains</v>
      </c>
      <c r="E105" s="519">
        <f>VLOOKUP(Tableau2[[#This Row],[Colonne1]],Tableau124[#All],4,FALSE)</f>
        <v>70300</v>
      </c>
      <c r="F105" s="519" t="str">
        <f>VLOOKUP(Tableau2[[#This Row],[Colonne1]],Tableau124[#All],5,FALSE)</f>
        <v>MDA, Place du 8 mai 1945 70300 LUXEUIL-LES-BAINS</v>
      </c>
      <c r="G105" s="519" t="str">
        <f>VLOOKUP(Tableau2[[#This Row],[Colonne1]],Tableau124[#All],6,FALSE)</f>
        <v>CJC</v>
      </c>
      <c r="H105" s="519" t="str">
        <f>VLOOKUP(Tableau2[[#This Row],[Colonne1]],Tableau124[#All],7,FALSE)</f>
        <v>CSAPA Vesoul</v>
      </c>
      <c r="I105" s="519" t="str">
        <f>VLOOKUP(Tableau2[[#This Row],[Colonne1]],Tableau124[#All],8,FALSE)</f>
        <v>Associatif</v>
      </c>
      <c r="J105" s="641" t="str">
        <f>VLOOKUP(Tableau2[[#This Row],[Colonne1]],Tableau124[#All],9,FALSE)</f>
        <v>csapa.vesoul@addictions-france.org</v>
      </c>
      <c r="K105" s="509" t="str">
        <f>VLOOKUP(Tableau2[[#This Row],[Colonne1]],Tableau124[#All],10,FALSE)</f>
        <v>03-84-76-75-75</v>
      </c>
      <c r="L105" s="642"/>
      <c r="M105" s="642"/>
      <c r="N105" s="643" t="str">
        <f>VLOOKUP(Tableau2[[#This Row],[Colonne1]],Tableau124[#All],13,FALSE)</f>
        <v>CJC avancées ; Orientation sur rendez-vous ; accessible à la famille et l'entourage</v>
      </c>
    </row>
    <row r="106" spans="2:14" ht="86.45" customHeight="1">
      <c r="B106" s="196">
        <v>177</v>
      </c>
      <c r="C106" s="156" t="str">
        <f>VLOOKUP(Tableau2[[#This Row],[Colonne1]],Tableau124[#All],2,FALSE)</f>
        <v>Saône-et-Loire (71)</v>
      </c>
      <c r="D106" s="156" t="str">
        <f>VLOOKUP(Tableau2[[#This Row],[Colonne1]],Tableau124[#All],3,FALSE)</f>
        <v>Mâcon</v>
      </c>
      <c r="E106" s="156" t="str">
        <f>VLOOKUP(Tableau2[[#This Row],[Colonne1]],Tableau124[#All],4,FALSE)</f>
        <v>71000</v>
      </c>
      <c r="F106" s="156" t="str">
        <f>VLOOKUP(Tableau2[[#This Row],[Colonne1]],Tableau124[#All],5,FALSE)</f>
        <v>71 rue Jean Macé</v>
      </c>
      <c r="G106" s="156" t="str">
        <f>VLOOKUP(Tableau2[[#This Row],[Colonne1]],Tableau124[#All],6,FALSE)</f>
        <v>CSAPA</v>
      </c>
      <c r="H106" s="156" t="str">
        <f>VLOOKUP(Tableau2[[#This Row],[Colonne1]],Tableau124[#All],7,FALSE)</f>
        <v>Addictions France 71</v>
      </c>
      <c r="I106" s="156" t="str">
        <f>VLOOKUP(Tableau2[[#This Row],[Colonne1]],Tableau124[#All],8,FALSE)</f>
        <v>Associatif</v>
      </c>
      <c r="J106" s="318" t="str">
        <f>VLOOKUP(Tableau2[[#This Row],[Colonne1]],Tableau124[#All],9,FALSE)</f>
        <v>csapa.macon@addictions-France.org</v>
      </c>
      <c r="K106" s="482" t="str">
        <f>VLOOKUP(Tableau2[[#This Row],[Colonne1]],Tableau124[#All],10,FALSE)</f>
        <v>03.85.39.20.56</v>
      </c>
      <c r="L106" s="318" t="str">
        <f>VLOOKUP(Tableau2[[#This Row],[Colonne1]],Tableau124[#All],11,FALSE)</f>
        <v>www.addictions-france.org</v>
      </c>
      <c r="M106" s="199" t="str">
        <f>VLOOKUP(Tableau2[[#This Row],[Colonne1]],Tableau124[#All],12,FALSE)</f>
        <v>lundide 9 h à 12 h30 et de 13 h 00 à 18 h 30
Mardide 9 h à 12 h 30 et de 13h00 à 18h00
Mercredi de 9 h à 12 h 30 et de 13 h 30 à 16 h 30
Jeudi de 9 h à 12 h 30 et de 13 h 30 à 18 h 00
Vendredi de 9 h à 12 h 30 et de 13 h 30 à 17 h 00</v>
      </c>
      <c r="N106" s="284" t="str">
        <f>VLOOKUP(Tableau2[[#This Row],[Colonne1]],Tableau124[#All],13,FALSE)</f>
        <v>- mise à disposition de matériel de consommation à moindre risque ;
- proposition de test rapide d'orientation diagnostic (TROD) ; 
- dispositifs anti-overdose à disposition ; 
- présence d'une CJC.</v>
      </c>
    </row>
    <row r="107" spans="2:14" ht="86.45" customHeight="1">
      <c r="B107" s="196">
        <v>175</v>
      </c>
      <c r="C107" s="508" t="str">
        <f>VLOOKUP(Tableau2[[#This Row],[Colonne1]],Tableau124[#All],2,FALSE)</f>
        <v>Saône-et-Loire (71)</v>
      </c>
      <c r="D107" s="508" t="str">
        <f>VLOOKUP(Tableau2[[#This Row],[Colonne1]],Tableau124[#All],3,FALSE)</f>
        <v>Mâcon</v>
      </c>
      <c r="E107" s="508" t="str">
        <f>VLOOKUP(Tableau2[[#This Row],[Colonne1]],Tableau124[#All],4,FALSE)</f>
        <v>71000</v>
      </c>
      <c r="F107" s="508" t="str">
        <f>VLOOKUP(Tableau2[[#This Row],[Colonne1]],Tableau124[#All],5,FALSE)</f>
        <v>71 rue Jean Macé</v>
      </c>
      <c r="G107" s="508" t="str">
        <f>VLOOKUP(Tableau2[[#This Row],[Colonne1]],Tableau124[#All],6,FALSE)</f>
        <v>CJC</v>
      </c>
      <c r="H107" s="508" t="str">
        <f>VLOOKUP(Tableau2[[#This Row],[Colonne1]],Tableau124[#All],7,FALSE)</f>
        <v>Addictions France 71</v>
      </c>
      <c r="I107" s="508" t="str">
        <f>VLOOKUP(Tableau2[[#This Row],[Colonne1]],Tableau124[#All],8,FALSE)</f>
        <v>Associatif</v>
      </c>
      <c r="J107" s="517" t="str">
        <f>VLOOKUP(Tableau2[[#This Row],[Colonne1]],Tableau124[#All],9,FALSE)</f>
        <v>csapa.macon@addictions-France.org</v>
      </c>
      <c r="K107" s="509" t="str">
        <f>VLOOKUP(Tableau2[[#This Row],[Colonne1]],Tableau124[#All],10,FALSE)</f>
        <v>03.85.39.20.56</v>
      </c>
      <c r="L107" s="517" t="str">
        <f>VLOOKUP(Tableau2[[#This Row],[Colonne1]],Tableau124[#All],11,FALSE)</f>
        <v>www.addictions-france.org</v>
      </c>
      <c r="M107" s="523" t="str">
        <f>VLOOKUP(Tableau2[[#This Row],[Colonne1]],Tableau124[#All],12,FALSE)</f>
        <v>Du Lundi au Vendredi 9h 17h</v>
      </c>
      <c r="N107" s="516" t="str">
        <f>VLOOKUP(Tableau2[[#This Row],[Colonne1]],Tableau124[#All],13,FALSE)</f>
        <v xml:space="preserve">- Accueil des familles ; 
- Orientation avec et sans rendez-vous ;
- CJC accessible à la famille et l'entourage ; 
- locaux identiques à ceux du CSAPA. </v>
      </c>
    </row>
    <row r="108" spans="2:14" ht="86.45" customHeight="1">
      <c r="B108" s="196">
        <v>65</v>
      </c>
      <c r="C108" s="156" t="str">
        <f>VLOOKUP(Tableau2[[#This Row],[Colonne1]],Tableau124[#All],2,FALSE)</f>
        <v>Doubs (25)</v>
      </c>
      <c r="D108" s="156" t="str">
        <f>VLOOKUP(Tableau2[[#This Row],[Colonne1]],Tableau124[#All],3,FALSE)</f>
        <v>Maiche</v>
      </c>
      <c r="E108" s="156">
        <f>VLOOKUP(Tableau2[[#This Row],[Colonne1]],Tableau124[#All],4,FALSE)</f>
        <v>25120</v>
      </c>
      <c r="F108" s="156" t="str">
        <f>VLOOKUP(Tableau2[[#This Row],[Colonne1]],Tableau124[#All],5,FALSE)</f>
        <v>23 rue Montalembert</v>
      </c>
      <c r="G108" s="156" t="str">
        <f>VLOOKUP(Tableau2[[#This Row],[Colonne1]],Tableau124[#All],6,FALSE)</f>
        <v>Antenne CSAPA</v>
      </c>
      <c r="H108" s="156" t="str">
        <f>VLOOKUP(Tableau2[[#This Row],[Colonne1]],Tableau124[#All],7,FALSE)</f>
        <v>CSAPA Le Relais Equinoxe - Association d'Hygiène Sociale de Franche Comté</v>
      </c>
      <c r="I108" s="156" t="str">
        <f>VLOOKUP(Tableau2[[#This Row],[Colonne1]],Tableau124[#All],8,FALSE)</f>
        <v>Associatif</v>
      </c>
      <c r="J108" s="496" t="str">
        <f>VLOOKUP(Tableau2[[#This Row],[Colonne1]],Tableau124[#All],9,FALSE)</f>
        <v>maiche.addictologie@gmail.com</v>
      </c>
      <c r="K108" s="482" t="str">
        <f>VLOOKUP(Tableau2[[#This Row],[Colonne1]],Tableau124[#All],10,FALSE)</f>
        <v>07-68-47-75-41</v>
      </c>
      <c r="L108" s="496" t="str">
        <f>VLOOKUP(Tableau2[[#This Row],[Colonne1]],Tableau124[#All],11,FALSE)</f>
        <v>www.ahs-fc.fr</v>
      </c>
      <c r="M108" s="199" t="str">
        <f>VLOOKUP(Tableau2[[#This Row],[Colonne1]],Tableau124[#All],12,FALSE)</f>
        <v>jeudi et vendredi de 10h à 17h</v>
      </c>
      <c r="N108" s="198" t="str">
        <f>VLOOKUP(Tableau2[[#This Row],[Colonne1]],Tableau124[#All],13,FALSE)</f>
        <v xml:space="preserve">  </v>
      </c>
    </row>
    <row r="109" spans="2:14" ht="86.45" customHeight="1">
      <c r="B109" s="196">
        <v>229</v>
      </c>
      <c r="C109" s="111" t="str">
        <f>VLOOKUP(Tableau2[[#This Row],[Colonne1]],Tableau124[#All],2,FALSE)</f>
        <v>Yonne (89)</v>
      </c>
      <c r="D109" s="111" t="str">
        <f>VLOOKUP(Tableau2[[#This Row],[Colonne1]],Tableau124[#All],3,FALSE)</f>
        <v>Migennes</v>
      </c>
      <c r="E109" s="111">
        <f>VLOOKUP(Tableau2[[#This Row],[Colonne1]],Tableau124[#All],4,FALSE)</f>
        <v>89400</v>
      </c>
      <c r="F109" s="111" t="str">
        <f>VLOOKUP(Tableau2[[#This Row],[Colonne1]],Tableau124[#All],5,FALSE)</f>
        <v>CH JOIGNY 3 Quai de l'Hôpital</v>
      </c>
      <c r="G109" s="111" t="str">
        <f>VLOOKUP(Tableau2[[#This Row],[Colonne1]],Tableau124[#All],6,FALSE)</f>
        <v>Consultations Hospitalières externes d'addictologie (autre lieu d'intervention)</v>
      </c>
      <c r="H109" s="111" t="str">
        <f>VLOOKUP(Tableau2[[#This Row],[Colonne1]],Tableau124[#All],7,FALSE)</f>
        <v xml:space="preserve">Centre Hospitalier de Joigny pôle H </v>
      </c>
      <c r="I109" s="111" t="str">
        <f>VLOOKUP(Tableau2[[#This Row],[Colonne1]],Tableau124[#All],8,FALSE)</f>
        <v>Public</v>
      </c>
      <c r="J109" s="495" t="str">
        <f>VLOOKUP(Tableau2[[#This Row],[Colonne1]],Tableau124[#All],9,FALSE)</f>
        <v>addictologie@ch-joigny.fr</v>
      </c>
      <c r="K109" s="481" t="str">
        <f>VLOOKUP(Tableau2[[#This Row],[Colonne1]],Tableau124[#All],10,FALSE)</f>
        <v>03.86.92.33.77</v>
      </c>
      <c r="L109" s="502" t="str">
        <f>VLOOKUP(Tableau2[[#This Row],[Colonne1]],Tableau124[#All],11,FALSE)</f>
        <v xml:space="preserve"> </v>
      </c>
      <c r="M109" s="493" t="str">
        <f>VLOOKUP(Tableau2[[#This Row],[Colonne1]],Tableau124[#All],12,FALSE)</f>
        <v>ELSA Variable</v>
      </c>
      <c r="N109" s="486" t="str">
        <f>VLOOKUP(Tableau2[[#This Row],[Colonne1]],Tableau124[#All],13,FALSE)</f>
        <v>Intervention auprès de public majeurs et mineurs ainsi qu'au CH de Joigny, pôle hôpital</v>
      </c>
    </row>
    <row r="110" spans="2:14" ht="86.45" customHeight="1">
      <c r="B110" s="196">
        <v>230</v>
      </c>
      <c r="C110" s="156" t="str">
        <f>VLOOKUP(Tableau2[[#This Row],[Colonne1]],Tableau124[#All],2,FALSE)</f>
        <v>Yonne (89)</v>
      </c>
      <c r="D110" s="101" t="str">
        <f>VLOOKUP(Tableau2[[#This Row],[Colonne1]],Tableau124[#All],3,FALSE)</f>
        <v>Migennes</v>
      </c>
      <c r="E110" s="101">
        <f>VLOOKUP(Tableau2[[#This Row],[Colonne1]],Tableau124[#All],4,FALSE)</f>
        <v>89400</v>
      </c>
      <c r="F110" s="101" t="str">
        <f>VLOOKUP(Tableau2[[#This Row],[Colonne1]],Tableau124[#All],5,FALSE)</f>
        <v>CHRS Migennes - 29 Av. des Cosmonautes</v>
      </c>
      <c r="G110" s="101" t="str">
        <f>VLOOKUP(Tableau2[[#This Row],[Colonne1]],Tableau124[#All],6,FALSE)</f>
        <v>CSAPA</v>
      </c>
      <c r="H110" s="101" t="str">
        <f>VLOOKUP(Tableau2[[#This Row],[Colonne1]],Tableau124[#All],7,FALSE)</f>
        <v>CSAPA</v>
      </c>
      <c r="I110" s="101" t="str">
        <f>VLOOKUP(Tableau2[[#This Row],[Colonne1]],Tableau124[#All],8,FALSE)</f>
        <v>Public</v>
      </c>
      <c r="J110" s="645" t="str">
        <f>VLOOKUP(Tableau2[[#This Row],[Colonne1]],Tableau124[#All],9,FALSE)</f>
        <v xml:space="preserve"> </v>
      </c>
      <c r="K110" s="482" t="str">
        <f>VLOOKUP(Tableau2[[#This Row],[Colonne1]],Tableau124[#All],10,FALSE)</f>
        <v>03 86 51 46 99</v>
      </c>
      <c r="L110" s="645"/>
      <c r="M110" s="199" t="str">
        <f>VLOOKUP(Tableau2[[#This Row],[Colonne1]],Tableau124[#All],12,FALSE)</f>
        <v>Vendredi 9h à 12h30 et 13h30 à 17h</v>
      </c>
      <c r="N110" s="258" t="str">
        <f>VLOOKUP(Tableau2[[#This Row],[Colonne1]],Tableau124[#All],13,FALSE)</f>
        <v xml:space="preserve">  </v>
      </c>
    </row>
    <row r="111" spans="2:14" ht="86.45" customHeight="1">
      <c r="B111" s="196">
        <v>231</v>
      </c>
      <c r="C111" s="156" t="str">
        <f>VLOOKUP(Tableau2[[#This Row],[Colonne1]],Tableau124[#All],2,FALSE)</f>
        <v>Yonne (89)</v>
      </c>
      <c r="D111" s="156" t="str">
        <f>VLOOKUP(Tableau2[[#This Row],[Colonne1]],Tableau124[#All],3,FALSE)</f>
        <v>Migennes</v>
      </c>
      <c r="E111" s="156">
        <f>VLOOKUP(Tableau2[[#This Row],[Colonne1]],Tableau124[#All],4,FALSE)</f>
        <v>89400</v>
      </c>
      <c r="F111" s="156" t="str">
        <f>VLOOKUP(Tableau2[[#This Row],[Colonne1]],Tableau124[#All],5,FALSE)</f>
        <v>CHRS 29 Avenue des Cosmonautes</v>
      </c>
      <c r="G111" s="156" t="str">
        <f>VLOOKUP(Tableau2[[#This Row],[Colonne1]],Tableau124[#All],6,FALSE)</f>
        <v>CSAPA (consultations avancées)</v>
      </c>
      <c r="H111" s="156" t="str">
        <f>VLOOKUP(Tableau2[[#This Row],[Colonne1]],Tableau124[#All],7,FALSE)</f>
        <v>CSAPA - Association Addictions France - consultations avancées</v>
      </c>
      <c r="I111" s="156" t="str">
        <f>VLOOKUP(Tableau2[[#This Row],[Colonne1]],Tableau124[#All],8,FALSE)</f>
        <v>Associatif</v>
      </c>
      <c r="J111" s="498" t="str">
        <f>VLOOKUP(Tableau2[[#This Row],[Colonne1]],Tableau124[#All],9,FALSE)</f>
        <v>bfc89@addictions-france.org</v>
      </c>
      <c r="K111" s="484" t="str">
        <f>VLOOKUP(Tableau2[[#This Row],[Colonne1]],Tableau124[#All],10,FALSE)</f>
        <v>03.86.51.46.102</v>
      </c>
      <c r="L111" s="496" t="str">
        <f>VLOOKUP(Tableau2[[#This Row],[Colonne1]],Tableau124[#All],11,FALSE)</f>
        <v>www.addictions-france.org</v>
      </c>
      <c r="M111" s="479" t="str">
        <f>VLOOKUP(Tableau2[[#This Row],[Colonne1]],Tableau124[#All],12,FALSE)</f>
        <v>1 mardi après-midi sur 2 de 14h à 17h</v>
      </c>
      <c r="N111" s="156" t="str">
        <f>VLOOKUP(Tableau2[[#This Row],[Colonne1]],Tableau124[#All],13,FALSE)</f>
        <v>Réalisation de consultations avancées</v>
      </c>
    </row>
    <row r="112" spans="2:14" ht="86.45" customHeight="1">
      <c r="B112" s="196">
        <v>37</v>
      </c>
      <c r="C112" s="111" t="str">
        <f>VLOOKUP(Tableau2[[#This Row],[Colonne1]],Tableau124[#All],2,FALSE)</f>
        <v>Côte-d’Or (21)</v>
      </c>
      <c r="D112" s="111" t="str">
        <f>VLOOKUP(Tableau2[[#This Row],[Colonne1]],Tableau124[#All],3,FALSE)</f>
        <v>Montbard</v>
      </c>
      <c r="E112" s="111">
        <f>VLOOKUP(Tableau2[[#This Row],[Colonne1]],Tableau124[#All],4,FALSE)</f>
        <v>21500</v>
      </c>
      <c r="F112" s="111" t="str">
        <f>VLOOKUP(Tableau2[[#This Row],[Colonne1]],Tableau124[#All],5,FALSE)</f>
        <v>Rue Auguste Carre</v>
      </c>
      <c r="G112" s="111" t="str">
        <f>VLOOKUP(Tableau2[[#This Row],[Colonne1]],Tableau124[#All],6,FALSE)</f>
        <v>Consultations Hospitalières externes d'addictologie (autre lieu d'intervention)</v>
      </c>
      <c r="H112" s="111" t="str">
        <f>VLOOKUP(Tableau2[[#This Row],[Colonne1]],Tableau124[#All],7,FALSE)</f>
        <v>Centre Hospitalier - CHA (Centre Hospitalier Robert Morlevat)</v>
      </c>
      <c r="I112" s="111" t="str">
        <f>VLOOKUP(Tableau2[[#This Row],[Colonne1]],Tableau124[#All],8,FALSE)</f>
        <v>Public</v>
      </c>
      <c r="J112" s="644" t="str">
        <f>VLOOKUP(Tableau2[[#This Row],[Colonne1]],Tableau124[#All],9,FALSE)</f>
        <v>secretariat.psychiatrie@ch-semur.fr</v>
      </c>
      <c r="K112" s="481" t="str">
        <f>VLOOKUP(Tableau2[[#This Row],[Colonne1]],Tableau124[#All],10,FALSE)</f>
        <v>03.80.89.64.72</v>
      </c>
      <c r="L112" s="495" t="str">
        <f>VLOOKUP(Tableau2[[#This Row],[Colonne1]],Tableau124[#All],11,FALSE)</f>
        <v>www.ch-semur.fr</v>
      </c>
      <c r="M112" s="493" t="str">
        <f>VLOOKUP(Tableau2[[#This Row],[Colonne1]],Tableau124[#All],12,FALSE)</f>
        <v>Tous les vendredis (sur RDV)</v>
      </c>
      <c r="N112" s="486" t="str">
        <f>VLOOKUP(Tableau2[[#This Row],[Colonne1]],Tableau124[#All],13,FALSE)</f>
        <v>Intervention auprès de public majeurs et mineurs, ainsi qu'au Centre Hospitalier Robert Morlevat</v>
      </c>
    </row>
    <row r="113" spans="2:14" ht="86.45" customHeight="1">
      <c r="B113" s="196">
        <v>38</v>
      </c>
      <c r="C113" s="156" t="str">
        <f>VLOOKUP(Tableau2[[#This Row],[Colonne1]],Tableau124[#All],2,FALSE)</f>
        <v>Côte-d’Or (21)</v>
      </c>
      <c r="D113" s="156" t="str">
        <f>VLOOKUP(Tableau2[[#This Row],[Colonne1]],Tableau124[#All],3,FALSE)</f>
        <v>Montbard</v>
      </c>
      <c r="E113" s="156">
        <f>VLOOKUP(Tableau2[[#This Row],[Colonne1]],Tableau124[#All],4,FALSE)</f>
        <v>21500</v>
      </c>
      <c r="F113" s="156" t="str">
        <f>VLOOKUP(Tableau2[[#This Row],[Colonne1]],Tableau124[#All],5,FALSE)</f>
        <v>CSAPA Tivoli 
35, Rue d'Abrantes</v>
      </c>
      <c r="G113" s="156" t="str">
        <f>VLOOKUP(Tableau2[[#This Row],[Colonne1]],Tableau124[#All],6,FALSE)</f>
        <v>CSAPA (consultations avancées)</v>
      </c>
      <c r="H113" s="156" t="str">
        <f>VLOOKUP(Tableau2[[#This Row],[Colonne1]],Tableau124[#All],7,FALSE)</f>
        <v>CSAPA Tivoli</v>
      </c>
      <c r="I113" s="156" t="str">
        <f>VLOOKUP(Tableau2[[#This Row],[Colonne1]],Tableau124[#All],8,FALSE)</f>
        <v>Associatif</v>
      </c>
      <c r="J113" s="502"/>
      <c r="K113" s="502"/>
      <c r="L113" s="324" t="str">
        <f>VLOOKUP(Tableau2[[#This Row],[Colonne1]],Tableau124[#All],11,FALSE)</f>
        <v xml:space="preserve"> </v>
      </c>
      <c r="M113" s="199" t="str">
        <f>VLOOKUP(Tableau2[[#This Row],[Colonne1]],Tableau124[#All],12,FALSE)</f>
        <v>Mardi : 10h 16h</v>
      </c>
      <c r="N113" s="487" t="str">
        <f>VLOOKUP(Tableau2[[#This Row],[Colonne1]],Tableau124[#All],13,FALSE)</f>
        <v>Consultation avancée tous les mardis entre 10h et 16h ( binôme psychologue/travailleur social )</v>
      </c>
    </row>
    <row r="114" spans="2:14" ht="86.45" customHeight="1">
      <c r="B114" s="196">
        <v>36</v>
      </c>
      <c r="C114" s="156" t="str">
        <f>VLOOKUP(Tableau2[[#This Row],[Colonne1]],Tableau124[#All],2,FALSE)</f>
        <v>Côte-d’Or (21)</v>
      </c>
      <c r="D114" s="156" t="str">
        <f>VLOOKUP(Tableau2[[#This Row],[Colonne1]],Tableau124[#All],3,FALSE)</f>
        <v>Montbard</v>
      </c>
      <c r="E114" s="156">
        <f>VLOOKUP(Tableau2[[#This Row],[Colonne1]],Tableau124[#All],4,FALSE)</f>
        <v>21500</v>
      </c>
      <c r="F114" s="156" t="str">
        <f>VLOOKUP(Tableau2[[#This Row],[Colonne1]],Tableau124[#All],5,FALSE)</f>
        <v>12 Av. Mal de Lattre de Tassigny (Lycée professionnel)</v>
      </c>
      <c r="G114" s="156" t="str">
        <f>VLOOKUP(Tableau2[[#This Row],[Colonne1]],Tableau124[#All],6,FALSE)</f>
        <v>Antenne CSAPA</v>
      </c>
      <c r="H114" s="156" t="str">
        <f>VLOOKUP(Tableau2[[#This Row],[Colonne1]],Tableau124[#All],7,FALSE)</f>
        <v>CSAPA Tivoli, Caarud le Spot - SEDAP</v>
      </c>
      <c r="I114" s="156" t="str">
        <f>VLOOKUP(Tableau2[[#This Row],[Colonne1]],Tableau124[#All],8,FALSE)</f>
        <v>Associatif</v>
      </c>
      <c r="J114" s="496" t="str">
        <f>VLOOKUP(Tableau2[[#This Row],[Colonne1]],Tableau124[#All],9,FALSE)</f>
        <v>tivoli@addictions-sedap.fr</v>
      </c>
      <c r="K114" s="482">
        <f>VLOOKUP(Tableau2[[#This Row],[Colonne1]],Tableau124[#All],10,FALSE)</f>
        <v>811466280</v>
      </c>
      <c r="L114" s="502" t="str">
        <f>VLOOKUP(Tableau2[[#This Row],[Colonne1]],Tableau124[#All],11,FALSE)</f>
        <v xml:space="preserve"> </v>
      </c>
      <c r="M114" s="199" t="str">
        <f>VLOOKUP(Tableau2[[#This Row],[Colonne1]],Tableau124[#All],12,FALSE)</f>
        <v xml:space="preserve">Tous les mardis : 9h-12h / 14h-18h </v>
      </c>
      <c r="N114" s="198" t="str">
        <f>VLOOKUP(Tableau2[[#This Row],[Colonne1]],Tableau124[#All],13,FALSE)</f>
        <v xml:space="preserve">   </v>
      </c>
    </row>
    <row r="115" spans="2:14" ht="86.45" customHeight="1">
      <c r="B115" s="196">
        <v>67</v>
      </c>
      <c r="C115" s="111" t="str">
        <f>VLOOKUP(Tableau2[[#This Row],[Colonne1]],Tableau124[#All],2,FALSE)</f>
        <v>Doubs (25)</v>
      </c>
      <c r="D115" s="111" t="str">
        <f>VLOOKUP(Tableau2[[#This Row],[Colonne1]],Tableau124[#All],3,FALSE)</f>
        <v>Montbéliard</v>
      </c>
      <c r="E115" s="111">
        <f>VLOOKUP(Tableau2[[#This Row],[Colonne1]],Tableau124[#All],4,FALSE)</f>
        <v>25200</v>
      </c>
      <c r="F115" s="111" t="str">
        <f>VLOOKUP(Tableau2[[#This Row],[Colonne1]],Tableau124[#All],5,FALSE)</f>
        <v>CMP Adultes, 9 avenue Léon Blum</v>
      </c>
      <c r="G115" s="111" t="str">
        <f>VLOOKUP(Tableau2[[#This Row],[Colonne1]],Tableau124[#All],6,FALSE)</f>
        <v>Consultations Hospitalières externes d'addictologie</v>
      </c>
      <c r="H115" s="111" t="str">
        <f>VLOOKUP(Tableau2[[#This Row],[Colonne1]],Tableau124[#All],7,FALSE)</f>
        <v>AHBFC</v>
      </c>
      <c r="I115" s="111" t="str">
        <f>VLOOKUP(Tableau2[[#This Row],[Colonne1]],Tableau124[#All],8,FALSE)</f>
        <v>Associatif</v>
      </c>
      <c r="J115" s="495" t="str">
        <f>VLOOKUP(Tableau2[[#This Row],[Colonne1]],Tableau124[#All],9,FALSE)</f>
        <v>contact@ahbfc.fr</v>
      </c>
      <c r="K115" s="481" t="str">
        <f>VLOOKUP(Tableau2[[#This Row],[Colonne1]],Tableau124[#All],10,FALSE)</f>
        <v>03 81 90 76 10</v>
      </c>
      <c r="L115" s="495" t="str">
        <f>VLOOKUP(Tableau2[[#This Row],[Colonne1]],Tableau124[#All],11,FALSE)</f>
        <v>www.ahbfc.fr</v>
      </c>
      <c r="M115" s="493" t="str">
        <f>VLOOKUP(Tableau2[[#This Row],[Colonne1]],Tableau124[#All],12,FALSE)</f>
        <v>du lundi au vendredi après-midi (14h-17h), sur rendez-vous.</v>
      </c>
      <c r="N115" s="486" t="str">
        <f>VLOOKUP(Tableau2[[#This Row],[Colonne1]],Tableau124[#All],13,FALSE)</f>
        <v>Intervention auprès de public majeurs</v>
      </c>
    </row>
    <row r="116" spans="2:14" ht="86.45" customHeight="1">
      <c r="B116" s="196">
        <v>66</v>
      </c>
      <c r="C116" s="203" t="str">
        <f>VLOOKUP(Tableau2[[#This Row],[Colonne1]],Tableau124[#All],2,FALSE)</f>
        <v>Doubs (25)</v>
      </c>
      <c r="D116" s="203" t="str">
        <f>VLOOKUP(Tableau2[[#This Row],[Colonne1]],Tableau124[#All],3,FALSE)</f>
        <v>Montbéliard</v>
      </c>
      <c r="E116" s="203" t="str">
        <f>VLOOKUP(Tableau2[[#This Row],[Colonne1]],Tableau124[#All],4,FALSE)</f>
        <v>25200</v>
      </c>
      <c r="F116" s="203" t="str">
        <f>VLOOKUP(Tableau2[[#This Row],[Colonne1]],Tableau124[#All],5,FALSE)</f>
        <v>30 Fbg de Besançon</v>
      </c>
      <c r="G116" s="203" t="str">
        <f>VLOOKUP(Tableau2[[#This Row],[Colonne1]],Tableau124[#All],6,FALSE)</f>
        <v>CAARUD</v>
      </c>
      <c r="H116" s="203" t="str">
        <f>VLOOKUP(Tableau2[[#This Row],[Colonne1]],Tableau124[#All],7,FALSE)</f>
        <v>CAARUD ENTR'ACTES - Association d'Hygiène Sociale de Franche Comté</v>
      </c>
      <c r="I116" s="203" t="str">
        <f>VLOOKUP(Tableau2[[#This Row],[Colonne1]],Tableau124[#All],8,FALSE)</f>
        <v>Associatif</v>
      </c>
      <c r="J116" s="653" t="str">
        <f>VLOOKUP(Tableau2[[#This Row],[Colonne1]],Tableau124[#All],9,FALSE)</f>
        <v>pole-addictologie.nfc@ahs-fc.fr</v>
      </c>
      <c r="K116" s="483" t="str">
        <f>VLOOKUP(Tableau2[[#This Row],[Colonne1]],Tableau124[#All],10,FALSE)</f>
        <v>03.81.31.29.41</v>
      </c>
      <c r="L116" s="497" t="str">
        <f>VLOOKUP(Tableau2[[#This Row],[Colonne1]],Tableau124[#All],11,FALSE)</f>
        <v>www.ahs-fc.fr</v>
      </c>
      <c r="M116" s="494" t="str">
        <f>VLOOKUP(Tableau2[[#This Row],[Colonne1]],Tableau124[#All],12,FALSE)</f>
        <v>Montbéliard :
lundi et jeudi de 10h à 15h</v>
      </c>
      <c r="N116" s="488" t="str">
        <f>VLOOKUP(Tableau2[[#This Row],[Colonne1]],Tableau124[#All],13,FALSE)</f>
        <v>- unité mobile pouvant servir de lieu d'accueil (déplacements sur tout le territoire Nord-Franche-Comté) ; 
- programme d'échange de seringues ;
- interventions ponctuelles en maraude ; 
- intervention en milieu festif ;
L’unité Mobile est rattachée au CAARUD : kmobile.nfc@ahs-fc.fr, kmobile.nfc@ahs-fc.fr, 06-85-11-08-91 (Semaine impaire ; mardi, mercred et jeudi
Semaine paire : mercredi, jeudi 
10h-16h)</v>
      </c>
    </row>
    <row r="117" spans="2:14" ht="86.45" customHeight="1">
      <c r="B117" s="196">
        <v>68</v>
      </c>
      <c r="C117" s="156" t="str">
        <f>VLOOKUP(Tableau2[[#This Row],[Colonne1]],Tableau124[#All],2,FALSE)</f>
        <v>Doubs (25)</v>
      </c>
      <c r="D117" s="156" t="str">
        <f>VLOOKUP(Tableau2[[#This Row],[Colonne1]],Tableau124[#All],3,FALSE)</f>
        <v>Montbéliard</v>
      </c>
      <c r="E117" s="156" t="str">
        <f>VLOOKUP(Tableau2[[#This Row],[Colonne1]],Tableau124[#All],4,FALSE)</f>
        <v>25200</v>
      </c>
      <c r="F117" s="156" t="str">
        <f>VLOOKUP(Tableau2[[#This Row],[Colonne1]],Tableau124[#All],5,FALSE)</f>
        <v>40 Fbg de Besançon</v>
      </c>
      <c r="G117" s="156" t="str">
        <f>VLOOKUP(Tableau2[[#This Row],[Colonne1]],Tableau124[#All],6,FALSE)</f>
        <v>CSAPA</v>
      </c>
      <c r="H117" s="156" t="str">
        <f>VLOOKUP(Tableau2[[#This Row],[Colonne1]],Tableau124[#All],7,FALSE)</f>
        <v>CSAPA Le Relais Equinoxe - Association d'Hygiène Sociale de Franche Comté</v>
      </c>
      <c r="I117" s="156" t="str">
        <f>VLOOKUP(Tableau2[[#This Row],[Colonne1]],Tableau124[#All],8,FALSE)</f>
        <v>Associatif</v>
      </c>
      <c r="J117" s="498" t="str">
        <f>VLOOKUP(Tableau2[[#This Row],[Colonne1]],Tableau124[#All],9,FALSE)</f>
        <v>pole-addictologie.nfc@ahs-fc.fr</v>
      </c>
      <c r="K117" s="485" t="str">
        <f>VLOOKUP(Tableau2[[#This Row],[Colonne1]],Tableau124[#All],10,FALSE)</f>
        <v>03-81-91-09-22/
03-81-99-37-04</v>
      </c>
      <c r="L117" s="496" t="str">
        <f>VLOOKUP(Tableau2[[#This Row],[Colonne1]],Tableau124[#All],11,FALSE)</f>
        <v>www.ahs-fc.fr</v>
      </c>
      <c r="M117" s="490" t="str">
        <f>VLOOKUP(Tableau2[[#This Row],[Colonne1]],Tableau124[#All],12,FALSE)</f>
        <v>lundi : 11h - 17h
du mardi au vendredi : 9h - 17h
Consultations Jeunes Consommateurs : Samedi 9h-12h sur RV et sur les horaires du Csapa</v>
      </c>
      <c r="N117" s="491" t="str">
        <f>VLOOKUP(Tableau2[[#This Row],[Colonne1]],Tableau124[#All],13,FALSE)</f>
        <v>- Réalisation de consultations avancées sur Pont de Roide, Isle sur le Doubs, Delle et Ornans ;
- intervention en milieu pénitentiaire à la maison d'arrêt de Belfort et de Montébliard ;
- mise à disposition de matériel de consommation à moindre risque ;
- proposition de test rapide d'orientation diagnostic (TROD) ; 
- dispositifs anti-overdose à disposition ; 
- présence d'une CJC.</v>
      </c>
    </row>
    <row r="118" spans="2:14" ht="86.45" customHeight="1">
      <c r="B118" s="196">
        <v>183</v>
      </c>
      <c r="C118" s="156" t="str">
        <f>VLOOKUP(Tableau2[[#This Row],[Colonne1]],Tableau124[#All],2,FALSE)</f>
        <v>Saône-et-Loire (71)</v>
      </c>
      <c r="D118" s="156" t="str">
        <f>VLOOKUP(Tableau2[[#This Row],[Colonne1]],Tableau124[#All],3,FALSE)</f>
        <v>Montceau-Les-Mines</v>
      </c>
      <c r="E118" s="156">
        <f>VLOOKUP(Tableau2[[#This Row],[Colonne1]],Tableau124[#All],4,FALSE)</f>
        <v>71300</v>
      </c>
      <c r="F118" s="156" t="str">
        <f>VLOOKUP(Tableau2[[#This Row],[Colonne1]],Tableau124[#All],5,FALSE)</f>
        <v>23 rue de Chalon</v>
      </c>
      <c r="G118" s="156" t="str">
        <f>VLOOKUP(Tableau2[[#This Row],[Colonne1]],Tableau124[#All],6,FALSE)</f>
        <v>Antenne CSAPA</v>
      </c>
      <c r="H118" s="156" t="str">
        <f>VLOOKUP(Tableau2[[#This Row],[Colonne1]],Tableau124[#All],7,FALSE)</f>
        <v>Addictions France 71</v>
      </c>
      <c r="I118" s="156" t="str">
        <f>VLOOKUP(Tableau2[[#This Row],[Colonne1]],Tableau124[#All],8,FALSE)</f>
        <v>Associatif</v>
      </c>
      <c r="J118" s="496" t="str">
        <f>VLOOKUP(Tableau2[[#This Row],[Colonne1]],Tableau124[#All],9,FALSE)</f>
        <v>csapa.montceau@addictions-france.org</v>
      </c>
      <c r="K118" s="482" t="str">
        <f>VLOOKUP(Tableau2[[#This Row],[Colonne1]],Tableau124[#All],10,FALSE)</f>
        <v>0385578533</v>
      </c>
      <c r="L118" s="502" t="str">
        <f>VLOOKUP(Tableau2[[#This Row],[Colonne1]],Tableau124[#All],11,FALSE)</f>
        <v xml:space="preserve">  </v>
      </c>
      <c r="M118" s="199" t="str">
        <f>VLOOKUP(Tableau2[[#This Row],[Colonne1]],Tableau124[#All],12,FALSE)</f>
        <v>Du lundi au vendredi de 09:00 - 12:00 et de 14:00 - 17:00</v>
      </c>
      <c r="N118" s="198" t="str">
        <f>VLOOKUP(Tableau2[[#This Row],[Colonne1]],Tableau124[#All],13,FALSE)</f>
        <v xml:space="preserve">   </v>
      </c>
    </row>
    <row r="119" spans="2:14" ht="86.45" customHeight="1">
      <c r="B119" s="196">
        <v>184</v>
      </c>
      <c r="C119" s="111" t="str">
        <f>VLOOKUP(Tableau2[[#This Row],[Colonne1]],Tableau124[#All],2,FALSE)</f>
        <v>Saône-et-Loire (71)</v>
      </c>
      <c r="D119" s="111" t="str">
        <f>VLOOKUP(Tableau2[[#This Row],[Colonne1]],Tableau124[#All],3,FALSE)</f>
        <v>Montceau-Les-Mines</v>
      </c>
      <c r="E119" s="111" t="str">
        <f>VLOOKUP(Tableau2[[#This Row],[Colonne1]],Tableau124[#All],4,FALSE)</f>
        <v>71300</v>
      </c>
      <c r="F119" s="111" t="str">
        <f>VLOOKUP(Tableau2[[#This Row],[Colonne1]],Tableau124[#All],5,FALSE)</f>
        <v>CH Jean Bouveri, Galuzot BP 189,  Dans plusieurs services</v>
      </c>
      <c r="G119" s="111" t="str">
        <f>VLOOKUP(Tableau2[[#This Row],[Colonne1]],Tableau124[#All],6,FALSE)</f>
        <v>Consultations Hospitalières externes d'addictologie</v>
      </c>
      <c r="H119" s="111" t="str">
        <f>VLOOKUP(Tableau2[[#This Row],[Colonne1]],Tableau124[#All],7,FALSE)</f>
        <v>Centre Hospitalier de Montceau les Mines</v>
      </c>
      <c r="I119" s="111" t="str">
        <f>VLOOKUP(Tableau2[[#This Row],[Colonne1]],Tableau124[#All],8,FALSE)</f>
        <v>Public</v>
      </c>
      <c r="J119" s="495" t="str">
        <f>VLOOKUP(Tableau2[[#This Row],[Colonne1]],Tableau124[#All],9,FALSE)</f>
        <v>contact@ch-montceau71.fr</v>
      </c>
      <c r="K119" s="481" t="str">
        <f>VLOOKUP(Tableau2[[#This Row],[Colonne1]],Tableau124[#All],10,FALSE)</f>
        <v>03 85 67 61 73</v>
      </c>
      <c r="L119" s="502" t="str">
        <f>VLOOKUP(Tableau2[[#This Row],[Colonne1]],Tableau124[#All],11,FALSE)</f>
        <v xml:space="preserve"> </v>
      </c>
      <c r="M119" s="493" t="str">
        <f>VLOOKUP(Tableau2[[#This Row],[Colonne1]],Tableau124[#All],12,FALSE)</f>
        <v>9 h / 17 h tous les jours (du lundi au vendredi)</v>
      </c>
      <c r="N119" s="486" t="str">
        <f>VLOOKUP(Tableau2[[#This Row],[Colonne1]],Tableau124[#All],13,FALSE)</f>
        <v>Intervention auprès de public majeurs et mineurs</v>
      </c>
    </row>
    <row r="120" spans="2:14" ht="86.45" customHeight="1">
      <c r="B120" s="196">
        <v>185</v>
      </c>
      <c r="C120" s="156" t="str">
        <f>VLOOKUP(Tableau2[[#This Row],[Colonne1]],Tableau124[#All],2,FALSE)</f>
        <v>Saône-et-Loire (71)</v>
      </c>
      <c r="D120" s="156" t="str">
        <f>VLOOKUP(Tableau2[[#This Row],[Colonne1]],Tableau124[#All],3,FALSE)</f>
        <v>Montceau-Les-Mines</v>
      </c>
      <c r="E120" s="156">
        <f>VLOOKUP(Tableau2[[#This Row],[Colonne1]],Tableau124[#All],4,FALSE)</f>
        <v>71300</v>
      </c>
      <c r="F120" s="156" t="str">
        <f>VLOOKUP(Tableau2[[#This Row],[Colonne1]],Tableau124[#All],5,FALSE)</f>
        <v>Centre de Périnatalité de Proximité de Montceau-les-Mines , CH Jean Bouveri, Galuzot BP 189,  Dans plusieurs services</v>
      </c>
      <c r="G120" s="156" t="str">
        <f>VLOOKUP(Tableau2[[#This Row],[Colonne1]],Tableau124[#All],6,FALSE)</f>
        <v>CSAPA (consultations avancées)</v>
      </c>
      <c r="H120" s="156" t="str">
        <f>VLOOKUP(Tableau2[[#This Row],[Colonne1]],Tableau124[#All],7,FALSE)</f>
        <v xml:space="preserve">CSAPA - Association Addictions France - consultations avancées - Centre de Périnatalité de Proximité de Montceau-les-Mines </v>
      </c>
      <c r="I120" s="156" t="str">
        <f>VLOOKUP(Tableau2[[#This Row],[Colonne1]],Tableau124[#All],8,FALSE)</f>
        <v>Associatif</v>
      </c>
      <c r="J120" s="496" t="str">
        <f>VLOOKUP(Tableau2[[#This Row],[Colonne1]],Tableau124[#All],9,FALSE)</f>
        <v>secgynéco@ch-montceau-71.fr</v>
      </c>
      <c r="K120" s="482" t="str">
        <f>VLOOKUP(Tableau2[[#This Row],[Colonne1]],Tableau124[#All],10,FALSE)</f>
        <v>03 85 67 60 04</v>
      </c>
      <c r="L120" s="496" t="str">
        <f>VLOOKUP(Tableau2[[#This Row],[Colonne1]],Tableau124[#All],11,FALSE)</f>
        <v>www.addictions-france.org</v>
      </c>
      <c r="M120" s="199" t="str">
        <f>VLOOKUP(Tableau2[[#This Row],[Colonne1]],Tableau124[#All],12,FALSE)</f>
        <v>du lundi au jeudi de 9h à 17h et le vendredi matin de 9h à 12h.</v>
      </c>
      <c r="N120" s="487" t="str">
        <f>VLOOKUP(Tableau2[[#This Row],[Colonne1]],Tableau124[#All],13,FALSE)</f>
        <v>Réalisation de consultations avancées</v>
      </c>
    </row>
    <row r="121" spans="2:14" ht="86.45" customHeight="1">
      <c r="B121" s="196">
        <v>136</v>
      </c>
      <c r="C121" s="156" t="str">
        <f>VLOOKUP(Tableau2[[#This Row],[Colonne1]],Tableau124[#All],2,FALSE)</f>
        <v>Jura (39)</v>
      </c>
      <c r="D121" s="156" t="str">
        <f>VLOOKUP(Tableau2[[#This Row],[Colonne1]],Tableau124[#All],3,FALSE)</f>
        <v xml:space="preserve">Morez - Haut de Bienne </v>
      </c>
      <c r="E121" s="156">
        <f>VLOOKUP(Tableau2[[#This Row],[Colonne1]],Tableau124[#All],4,FALSE)</f>
        <v>39400</v>
      </c>
      <c r="F121" s="156" t="str">
        <f>VLOOKUP(Tableau2[[#This Row],[Colonne1]],Tableau124[#All],5,FALSE)</f>
        <v>23 avenue de la Libération</v>
      </c>
      <c r="G121" s="156" t="str">
        <f>VLOOKUP(Tableau2[[#This Row],[Colonne1]],Tableau124[#All],6,FALSE)</f>
        <v>CSAPA (consultations avancées)</v>
      </c>
      <c r="H121" s="156" t="str">
        <f>VLOOKUP(Tableau2[[#This Row],[Colonne1]],Tableau124[#All],7,FALSE)</f>
        <v>CSAPA Oppelia Passerelle 39 - consultations avancées</v>
      </c>
      <c r="I121" s="156" t="str">
        <f>VLOOKUP(Tableau2[[#This Row],[Colonne1]],Tableau124[#All],8,FALSE)</f>
        <v>Associatif</v>
      </c>
      <c r="J121" s="496" t="str">
        <f>VLOOKUP(Tableau2[[#This Row],[Colonne1]],Tableau124[#All],9,FALSE)</f>
        <v>contactp39@oppelia.fr</v>
      </c>
      <c r="K121" s="482" t="str">
        <f>VLOOKUP(Tableau2[[#This Row],[Colonne1]],Tableau124[#All],10,FALSE)</f>
        <v>04 84 24 66 83</v>
      </c>
      <c r="L121" s="496" t="str">
        <f>VLOOKUP(Tableau2[[#This Row],[Colonne1]],Tableau124[#All],11,FALSE)</f>
        <v>www.oppelia.fr</v>
      </c>
      <c r="M121" s="199" t="str">
        <f>VLOOKUP(Tableau2[[#This Row],[Colonne1]],Tableau124[#All],12,FALSE)</f>
        <v>Le premier et troisième jeudi de chaque mois, de 14h00 à 18h00 (appeler en amont)</v>
      </c>
      <c r="N121" s="487" t="str">
        <f>VLOOKUP(Tableau2[[#This Row],[Colonne1]],Tableau124[#All],13,FALSE)</f>
        <v>Réalisation de consultations avancées</v>
      </c>
    </row>
    <row r="122" spans="2:14" ht="86.45" customHeight="1">
      <c r="B122" s="196">
        <v>70</v>
      </c>
      <c r="C122" s="156" t="str">
        <f>VLOOKUP(Tableau2[[#This Row],[Colonne1]],Tableau124[#All],2,FALSE)</f>
        <v>Doubs (25)</v>
      </c>
      <c r="D122" s="156" t="str">
        <f>VLOOKUP(Tableau2[[#This Row],[Colonne1]],Tableau124[#All],3,FALSE)</f>
        <v>Morteau</v>
      </c>
      <c r="E122" s="156">
        <f>VLOOKUP(Tableau2[[#This Row],[Colonne1]],Tableau124[#All],4,FALSE)</f>
        <v>25500</v>
      </c>
      <c r="F122" s="156" t="str">
        <f>VLOOKUP(Tableau2[[#This Row],[Colonne1]],Tableau124[#All],5,FALSE)</f>
        <v>Hopital de Morteau, 9 Rue Maréchal Leclerc</v>
      </c>
      <c r="G122" s="156" t="str">
        <f>VLOOKUP(Tableau2[[#This Row],[Colonne1]],Tableau124[#All],6,FALSE)</f>
        <v>CSAPA (consultations avancées)</v>
      </c>
      <c r="H122" s="156" t="str">
        <f>VLOOKUP(Tableau2[[#This Row],[Colonne1]],Tableau124[#All],7,FALSE)</f>
        <v>CSAPA CHI-HC - consultations avancées</v>
      </c>
      <c r="I122" s="156" t="str">
        <f>VLOOKUP(Tableau2[[#This Row],[Colonne1]],Tableau124[#All],8,FALSE)</f>
        <v>Public</v>
      </c>
      <c r="J122" s="496" t="str">
        <f>VLOOKUP(Tableau2[[#This Row],[Colonne1]],Tableau124[#All],9,FALSE)</f>
        <v>csapa@chi-hc.fr</v>
      </c>
      <c r="K122" s="482" t="str">
        <f>VLOOKUP(Tableau2[[#This Row],[Colonne1]],Tableau124[#All],10,FALSE)</f>
        <v>03 81 38 53 64</v>
      </c>
      <c r="L122" s="324" t="str">
        <f>VLOOKUP(Tableau2[[#This Row],[Colonne1]],Tableau124[#All],11,FALSE)</f>
        <v xml:space="preserve"> </v>
      </c>
      <c r="M122" s="199" t="str">
        <f>VLOOKUP(Tableau2[[#This Row],[Colonne1]],Tableau124[#All],12,FALSE)</f>
        <v>Un lundi sur deux de 14 heures à 18h30</v>
      </c>
      <c r="N122" s="487" t="str">
        <f>VLOOKUP(Tableau2[[#This Row],[Colonne1]],Tableau124[#All],13,FALSE)</f>
        <v>Réalisation de consultations avancées</v>
      </c>
    </row>
    <row r="123" spans="2:14" ht="86.45" customHeight="1">
      <c r="B123" s="196">
        <v>71</v>
      </c>
      <c r="C123" s="156" t="str">
        <f>VLOOKUP(Tableau2[[#This Row],[Colonne1]],Tableau124[#All],2,FALSE)</f>
        <v>Doubs (25)</v>
      </c>
      <c r="D123" s="156" t="str">
        <f>VLOOKUP(Tableau2[[#This Row],[Colonne1]],Tableau124[#All],3,FALSE)</f>
        <v>Morteau</v>
      </c>
      <c r="E123" s="156">
        <f>VLOOKUP(Tableau2[[#This Row],[Colonne1]],Tableau124[#All],4,FALSE)</f>
        <v>25500</v>
      </c>
      <c r="F123" s="156" t="str">
        <f>VLOOKUP(Tableau2[[#This Row],[Colonne1]],Tableau124[#All],5,FALSE)</f>
        <v>CCAS de Morteau, 6 rue Barral</v>
      </c>
      <c r="G123" s="156" t="str">
        <f>VLOOKUP(Tableau2[[#This Row],[Colonne1]],Tableau124[#All],6,FALSE)</f>
        <v>CSAPA (consultations avancées)</v>
      </c>
      <c r="H123" s="156" t="str">
        <f>VLOOKUP(Tableau2[[#This Row],[Colonne1]],Tableau124[#All],7,FALSE)</f>
        <v>CSAPA de Besançon - Association Addictions France - consultations avancées</v>
      </c>
      <c r="I123" s="156" t="str">
        <f>VLOOKUP(Tableau2[[#This Row],[Colonne1]],Tableau124[#All],8,FALSE)</f>
        <v>Associatif</v>
      </c>
      <c r="J123" s="496" t="str">
        <f>VLOOKUP(Tableau2[[#This Row],[Colonne1]],Tableau124[#All],9,FALSE)</f>
        <v>csapa.besancon@addictions-france.org</v>
      </c>
      <c r="K123" s="482" t="str">
        <f>VLOOKUP(Tableau2[[#This Row],[Colonne1]],Tableau124[#All],10,FALSE)</f>
        <v>03.81.83.22.76</v>
      </c>
      <c r="L123" s="496" t="str">
        <f>VLOOKUP(Tableau2[[#This Row],[Colonne1]],Tableau124[#All],11,FALSE)</f>
        <v>www.addictions-france.org</v>
      </c>
      <c r="M123" s="199" t="str">
        <f>VLOOKUP(Tableau2[[#This Row],[Colonne1]],Tableau124[#All],12,FALSE)</f>
        <v>Mercredi de 9h à 12h (semaine impaire) et de 9h à 17h (semaine paire)</v>
      </c>
      <c r="N123" s="487" t="str">
        <f>VLOOKUP(Tableau2[[#This Row],[Colonne1]],Tableau124[#All],13,FALSE)</f>
        <v>Réalisation de consultations avancées</v>
      </c>
    </row>
    <row r="124" spans="2:14" ht="60">
      <c r="B124" s="196">
        <v>153</v>
      </c>
      <c r="C124" s="203" t="str">
        <f>VLOOKUP(Tableau2[[#This Row],[Colonne1]],Tableau124[#All],2,FALSE)</f>
        <v>Nièvre (58)</v>
      </c>
      <c r="D124" s="203" t="str">
        <f>VLOOKUP(Tableau2[[#This Row],[Colonne1]],Tableau124[#All],3,FALSE)</f>
        <v>Nevers</v>
      </c>
      <c r="E124" s="203" t="str">
        <f>VLOOKUP(Tableau2[[#This Row],[Colonne1]],Tableau124[#All],4,FALSE)</f>
        <v>58000</v>
      </c>
      <c r="F124" s="203" t="str">
        <f>VLOOKUP(Tableau2[[#This Row],[Colonne1]],Tableau124[#All],5,FALSE)</f>
        <v>9 Rue Gambetta</v>
      </c>
      <c r="G124" s="203" t="str">
        <f>VLOOKUP(Tableau2[[#This Row],[Colonne1]],Tableau124[#All],6,FALSE)</f>
        <v>CAARUD</v>
      </c>
      <c r="H124" s="203" t="str">
        <f>VLOOKUP(Tableau2[[#This Row],[Colonne1]],Tableau124[#All],7,FALSE)</f>
        <v>CAARUD DE NEVERS - Association Aides</v>
      </c>
      <c r="I124" s="203" t="str">
        <f>VLOOKUP(Tableau2[[#This Row],[Colonne1]],Tableau124[#All],8,FALSE)</f>
        <v>Associatif</v>
      </c>
      <c r="J124" s="497" t="str">
        <f>VLOOKUP(Tableau2[[#This Row],[Colonne1]],Tableau124[#All],9,FALSE)</f>
        <v>nevers@aides.org</v>
      </c>
      <c r="K124" s="483" t="str">
        <f>VLOOKUP(Tableau2[[#This Row],[Colonne1]],Tableau124[#All],10,FALSE)</f>
        <v>0386590948</v>
      </c>
      <c r="L124" s="359" t="str">
        <f>VLOOKUP(Tableau2[[#This Row],[Colonne1]],Tableau124[#All],11,FALSE)</f>
        <v>www.aides.org</v>
      </c>
      <c r="M124" s="494" t="str">
        <f>VLOOKUP(Tableau2[[#This Row],[Colonne1]],Tableau124[#All],12,FALSE)</f>
        <v>Lundi de 13:00 à 17:00
Mardi de 13:00 à 17:00
Jeudi de 9:00 à 12:00 et de 13:00 à 17:00</v>
      </c>
      <c r="N124" s="488" t="str">
        <f>VLOOKUP(Tableau2[[#This Row],[Colonne1]],Tableau124[#All],13,FALSE)</f>
        <v xml:space="preserve">- intervention en maraude ;
- programme d'échange de seringues </v>
      </c>
    </row>
    <row r="125" spans="2:14" ht="45">
      <c r="B125" s="196">
        <v>155</v>
      </c>
      <c r="C125" s="478" t="str">
        <f>VLOOKUP(Tableau2[[#This Row],[Colonne1]],Tableau124[#All],2,FALSE)</f>
        <v>Nièvre (58)</v>
      </c>
      <c r="D125" s="478" t="str">
        <f>VLOOKUP(Tableau2[[#This Row],[Colonne1]],Tableau124[#All],3,FALSE)</f>
        <v>Nevers</v>
      </c>
      <c r="E125" s="478" t="str">
        <f>VLOOKUP(Tableau2[[#This Row],[Colonne1]],Tableau124[#All],4,FALSE)</f>
        <v>58000</v>
      </c>
      <c r="F125" s="478" t="str">
        <f>VLOOKUP(Tableau2[[#This Row],[Colonne1]],Tableau124[#All],5,FALSE)</f>
        <v>1 avenue Patrick Guillot</v>
      </c>
      <c r="G125" s="478" t="str">
        <f>VLOOKUP(Tableau2[[#This Row],[Colonne1]],Tableau124[#All],6,FALSE)</f>
        <v>Consultations Hospitalières externes d'addictologie</v>
      </c>
      <c r="H125" s="478" t="str">
        <f>VLOOKUP(Tableau2[[#This Row],[Colonne1]],Tableau124[#All],7,FALSE)</f>
        <v>Centre Hospitalier de l’Agglomération de Nevers</v>
      </c>
      <c r="I125" s="478" t="str">
        <f>VLOOKUP(Tableau2[[#This Row],[Colonne1]],Tableau124[#All],8,FALSE)</f>
        <v>Public</v>
      </c>
      <c r="J125" s="495" t="str">
        <f>VLOOKUP(Tableau2[[#This Row],[Colonne1]],Tableau124[#All],9,FALSE)</f>
        <v>chan.addictologie@ght58.fr</v>
      </c>
      <c r="K125" s="481" t="str">
        <f>VLOOKUP(Tableau2[[#This Row],[Colonne1]],Tableau124[#All],10,FALSE)</f>
        <v>03 86 93 71 00</v>
      </c>
      <c r="L125" s="311" t="str">
        <f>VLOOKUP(Tableau2[[#This Row],[Colonne1]],Tableau124[#All],11,FALSE)</f>
        <v>www.ghtnievre.fr</v>
      </c>
      <c r="M125" s="493" t="str">
        <f>VLOOKUP(Tableau2[[#This Row],[Colonne1]],Tableau124[#All],12,FALSE)</f>
        <v>Lundi au vendredi de 9h à 17h</v>
      </c>
      <c r="N125" s="486" t="str">
        <f>VLOOKUP(Tableau2[[#This Row],[Colonne1]],Tableau124[#All],13,FALSE)</f>
        <v xml:space="preserve">Intervention auprès de public majeurs </v>
      </c>
    </row>
    <row r="126" spans="2:14" ht="86.45" customHeight="1">
      <c r="B126" s="196">
        <v>156</v>
      </c>
      <c r="C126" s="156" t="str">
        <f>VLOOKUP(Tableau2[[#This Row],[Colonne1]],Tableau124[#All],2,FALSE)</f>
        <v>Nièvre (58)</v>
      </c>
      <c r="D126" s="156" t="str">
        <f>VLOOKUP(Tableau2[[#This Row],[Colonne1]],Tableau124[#All],3,FALSE)</f>
        <v>Nevers</v>
      </c>
      <c r="E126" s="156" t="str">
        <f>VLOOKUP(Tableau2[[#This Row],[Colonne1]],Tableau124[#All],4,FALSE)</f>
        <v>58000</v>
      </c>
      <c r="F126" s="156" t="str">
        <f>VLOOKUP(Tableau2[[#This Row],[Colonne1]],Tableau124[#All],5,FALSE)</f>
        <v>15 Rue du Moulin d'Écorce</v>
      </c>
      <c r="G126" s="156" t="str">
        <f>VLOOKUP(Tableau2[[#This Row],[Colonne1]],Tableau124[#All],6,FALSE)</f>
        <v>CSAPA</v>
      </c>
      <c r="H126" s="156" t="str">
        <f>VLOOKUP(Tableau2[[#This Row],[Colonne1]],Tableau124[#All],7,FALSE)</f>
        <v>CSAPA - Association Addictions France</v>
      </c>
      <c r="I126" s="156" t="str">
        <f>VLOOKUP(Tableau2[[#This Row],[Colonne1]],Tableau124[#All],8,FALSE)</f>
        <v>Associatif</v>
      </c>
      <c r="J126" s="496" t="str">
        <f>VLOOKUP(Tableau2[[#This Row],[Colonne1]],Tableau124[#All],9,FALSE)</f>
        <v>BFC58@Addictions-france.org</v>
      </c>
      <c r="K126" s="482" t="str">
        <f>VLOOKUP(Tableau2[[#This Row],[Colonne1]],Tableau124[#All],10,FALSE)</f>
        <v>03 86 61 56 89</v>
      </c>
      <c r="L126" s="502" t="str">
        <f>VLOOKUP(Tableau2[[#This Row],[Colonne1]],Tableau124[#All],11,FALSE)</f>
        <v xml:space="preserve"> </v>
      </c>
      <c r="M126" s="199" t="str">
        <f>VLOOKUP(Tableau2[[#This Row],[Colonne1]],Tableau124[#All],12,FALSE)</f>
        <v>Du Lundi Au Mercredi : De 8H30 A 12H30 et de 13H30 A 18H00
Le jeudi : De 8H30 A 12H30 et de 13H30 A 17H30
Le Vendredi : De 8H30 A 12H30 et de 13H30 A 17H00</v>
      </c>
      <c r="N126" s="284" t="str">
        <f>VLOOKUP(Tableau2[[#This Row],[Colonne1]],Tableau124[#All],13,FALSE)</f>
        <v>- Réalisation de consultations avancées sur Imphy ;
- intervention en milieu pénitentiaire à la Maison d'arrêt de Nevers ;
- mise à disposition de matériel de consommation à moindre risque ;
- proposition de test rapide d'orientation diagnostic (TROD) ; 
- dispositifs anti-overdose à disposition ; 
- présence d'une CJC.</v>
      </c>
    </row>
    <row r="127" spans="2:14" ht="86.45" customHeight="1">
      <c r="B127" s="196">
        <v>154</v>
      </c>
      <c r="C127" s="507" t="str">
        <f>VLOOKUP(Tableau2[[#This Row],[Colonne1]],Tableau124[#All],2,FALSE)</f>
        <v>Nièvre (58)</v>
      </c>
      <c r="D127" s="508" t="str">
        <f>VLOOKUP(Tableau2[[#This Row],[Colonne1]],Tableau124[#All],3,FALSE)</f>
        <v>Nevers</v>
      </c>
      <c r="E127" s="508" t="str">
        <f>VLOOKUP(Tableau2[[#This Row],[Colonne1]],Tableau124[#All],4,FALSE)</f>
        <v>58000</v>
      </c>
      <c r="F127" s="508" t="str">
        <f>VLOOKUP(Tableau2[[#This Row],[Colonne1]],Tableau124[#All],5,FALSE)</f>
        <v>15 Rue du Moulin d'Écorce</v>
      </c>
      <c r="G127" s="508" t="str">
        <f>VLOOKUP(Tableau2[[#This Row],[Colonne1]],Tableau124[#All],6,FALSE)</f>
        <v>CJC</v>
      </c>
      <c r="H127" s="508" t="str">
        <f>VLOOKUP(Tableau2[[#This Row],[Colonne1]],Tableau124[#All],7,FALSE)</f>
        <v>CSAPA - Association Addictions France</v>
      </c>
      <c r="I127" s="508" t="str">
        <f>VLOOKUP(Tableau2[[#This Row],[Colonne1]],Tableau124[#All],8,FALSE)</f>
        <v>Associatif</v>
      </c>
      <c r="J127" s="522" t="str">
        <f>VLOOKUP(Tableau2[[#This Row],[Colonne1]],Tableau124[#All],9,FALSE)</f>
        <v>BFC58@Addictions-france.org</v>
      </c>
      <c r="K127" s="509" t="str">
        <f>VLOOKUP(Tableau2[[#This Row],[Colonne1]],Tableau124[#All],10,FALSE)</f>
        <v>03 86 61 56 89</v>
      </c>
      <c r="L127" s="642" t="str">
        <f>VLOOKUP(Tableau2[[#This Row],[Colonne1]],Tableau124[#All],11,FALSE)</f>
        <v xml:space="preserve"> </v>
      </c>
      <c r="M127" s="523" t="str">
        <f>VLOOKUP(Tableau2[[#This Row],[Colonne1]],Tableau124[#All],12,FALSE)</f>
        <v>Du Lundi au Mercredi - 8H30 A 12H30 et de 13H30 A 18H00
Le jeudi : de 13H30 A 17H30
Le vendredi : de 13H30 A 16H30</v>
      </c>
      <c r="N127" s="524" t="str">
        <f>VLOOKUP(Tableau2[[#This Row],[Colonne1]],Tableau124[#All],13,FALSE)</f>
        <v xml:space="preserve">- Accueil des familles ; 
- Orientation sur rendez-vous ;
- CJC accessible à la famille et l'entourage ; 
- locaux identiques à ceux du CSAPA. </v>
      </c>
    </row>
    <row r="128" spans="2:14" ht="86.45" customHeight="1">
      <c r="B128" s="196">
        <v>101</v>
      </c>
      <c r="C128" s="156" t="str">
        <f>VLOOKUP(Tableau2[[#This Row],[Colonne1]],Tableau124[#All],2,FALSE)</f>
        <v>Haute-Saône (70)</v>
      </c>
      <c r="D128" s="156" t="str">
        <f>VLOOKUP(Tableau2[[#This Row],[Colonne1]],Tableau124[#All],3,FALSE)</f>
        <v>Noidans-Le-Ferroux</v>
      </c>
      <c r="E128" s="156">
        <f>VLOOKUP(Tableau2[[#This Row],[Colonne1]],Tableau124[#All],4,FALSE)</f>
        <v>70130</v>
      </c>
      <c r="F128" s="156" t="str">
        <f>VLOOKUP(Tableau2[[#This Row],[Colonne1]],Tableau124[#All],5,FALSE)</f>
        <v>Maison Médicale - 20, rue du Centre</v>
      </c>
      <c r="G128" s="156" t="str">
        <f>VLOOKUP(Tableau2[[#This Row],[Colonne1]],Tableau124[#All],6,FALSE)</f>
        <v>CSAPA (consultations avancées)</v>
      </c>
      <c r="H128" s="156" t="str">
        <f>VLOOKUP(Tableau2[[#This Row],[Colonne1]],Tableau124[#All],7,FALSE)</f>
        <v>Association Addictions France en Haute-Saône- consultations avancées</v>
      </c>
      <c r="I128" s="156" t="str">
        <f>VLOOKUP(Tableau2[[#This Row],[Colonne1]],Tableau124[#All],8,FALSE)</f>
        <v>Associatif</v>
      </c>
      <c r="J128" s="318" t="str">
        <f>VLOOKUP(Tableau2[[#This Row],[Colonne1]],Tableau124[#All],9,FALSE)</f>
        <v>csapa.vesoul@addictions-france.org</v>
      </c>
      <c r="K128" s="238" t="str">
        <f>VLOOKUP(Tableau2[[#This Row],[Colonne1]],Tableau124[#All],10,FALSE)</f>
        <v>03-84-76-75-81</v>
      </c>
      <c r="L128" s="496" t="str">
        <f>VLOOKUP(Tableau2[[#This Row],[Colonne1]],Tableau124[#All],11,FALSE)</f>
        <v>https://addictions-france.org</v>
      </c>
      <c r="M128" s="101" t="str">
        <f>VLOOKUP(Tableau2[[#This Row],[Colonne1]],Tableau124[#All],12,FALSE)</f>
        <v>Lundi 9h-12h</v>
      </c>
      <c r="N128" s="101" t="str">
        <f>VLOOKUP(Tableau2[[#This Row],[Colonne1]],Tableau124[#All],13,FALSE)</f>
        <v>Réalisation de consultations avancées
MSMA – Intervention en Microstructure</v>
      </c>
    </row>
    <row r="129" spans="2:14" ht="60">
      <c r="B129" s="196">
        <v>73</v>
      </c>
      <c r="C129" s="156" t="str">
        <f>VLOOKUP(Tableau2[[#This Row],[Colonne1]],Tableau124[#All],2,FALSE)</f>
        <v>Doubs (25)</v>
      </c>
      <c r="D129" s="156" t="str">
        <f>VLOOKUP(Tableau2[[#This Row],[Colonne1]],Tableau124[#All],3,FALSE)</f>
        <v>Ornans</v>
      </c>
      <c r="E129" s="156">
        <f>VLOOKUP(Tableau2[[#This Row],[Colonne1]],Tableau124[#All],4,FALSE)</f>
        <v>25290</v>
      </c>
      <c r="F129" s="156" t="str">
        <f>VLOOKUP(Tableau2[[#This Row],[Colonne1]],Tableau124[#All],5,FALSE)</f>
        <v>1 Rue Saint-Laurent</v>
      </c>
      <c r="G129" s="156" t="str">
        <f>VLOOKUP(Tableau2[[#This Row],[Colonne1]],Tableau124[#All],6,FALSE)</f>
        <v>CSAPA (consultations avancées)</v>
      </c>
      <c r="H129" s="156" t="str">
        <f>VLOOKUP(Tableau2[[#This Row],[Colonne1]],Tableau124[#All],7,FALSE)</f>
        <v>CSAPA Le Relais Equinoxe - Association d'Hygiène Sociale de Franche Comté - consultations avancées</v>
      </c>
      <c r="I129" s="156" t="str">
        <f>VLOOKUP(Tableau2[[#This Row],[Colonne1]],Tableau124[#All],8,FALSE)</f>
        <v>Associatif</v>
      </c>
      <c r="J129" s="496" t="str">
        <f>VLOOKUP(Tableau2[[#This Row],[Colonne1]],Tableau124[#All],9,FALSE)</f>
        <v>pole-addiction.nfc@ahs-fc.fr</v>
      </c>
      <c r="K129" s="482" t="str">
        <f>VLOOKUP(Tableau2[[#This Row],[Colonne1]],Tableau124[#All],10,FALSE)</f>
        <v>03.81.99.37.08</v>
      </c>
      <c r="L129" s="496" t="str">
        <f>VLOOKUP(Tableau2[[#This Row],[Colonne1]],Tableau124[#All],11,FALSE)</f>
        <v>www.ahs-fc.fr</v>
      </c>
      <c r="M129" s="199" t="str">
        <f>VLOOKUP(Tableau2[[#This Row],[Colonne1]],Tableau124[#All],12,FALSE)</f>
        <v>Du lundi au vendredi de 8h30 à 12h et de 13h30 à 16h.</v>
      </c>
      <c r="N129" s="487" t="str">
        <f>VLOOKUP(Tableau2[[#This Row],[Colonne1]],Tableau124[#All],13,FALSE)</f>
        <v>Réalisation de consultations avancées</v>
      </c>
    </row>
    <row r="130" spans="2:14" ht="45">
      <c r="B130" s="196">
        <v>74</v>
      </c>
      <c r="C130" s="156" t="str">
        <f>VLOOKUP(Tableau2[[#This Row],[Colonne1]],Tableau124[#All],2,FALSE)</f>
        <v>Doubs (25)</v>
      </c>
      <c r="D130" s="156" t="str">
        <f>VLOOKUP(Tableau2[[#This Row],[Colonne1]],Tableau124[#All],3,FALSE)</f>
        <v>Ornans</v>
      </c>
      <c r="E130" s="156">
        <f>VLOOKUP(Tableau2[[#This Row],[Colonne1]],Tableau124[#All],4,FALSE)</f>
        <v>25290</v>
      </c>
      <c r="F130" s="156" t="str">
        <f>VLOOKUP(Tableau2[[#This Row],[Colonne1]],Tableau124[#All],5,FALSE)</f>
        <v>32 Rue Jacques Gervais</v>
      </c>
      <c r="G130" s="156" t="str">
        <f>VLOOKUP(Tableau2[[#This Row],[Colonne1]],Tableau124[#All],6,FALSE)</f>
        <v>CSAPA (consultations avancées)</v>
      </c>
      <c r="H130" s="156" t="str">
        <f>VLOOKUP(Tableau2[[#This Row],[Colonne1]],Tableau124[#All],7,FALSE)</f>
        <v>CSAPA SOLEA - ADDSEA Bourgogne Franche Comté - consultations avancées</v>
      </c>
      <c r="I130" s="156" t="str">
        <f>VLOOKUP(Tableau2[[#This Row],[Colonne1]],Tableau124[#All],8,FALSE)</f>
        <v>Associatif</v>
      </c>
      <c r="J130" s="496" t="str">
        <f>VLOOKUP(Tableau2[[#This Row],[Colonne1]],Tableau124[#All],9,FALSE)</f>
        <v>solea@addsea.fr</v>
      </c>
      <c r="K130" s="482">
        <f>VLOOKUP(Tableau2[[#This Row],[Colonne1]],Tableau124[#All],10,FALSE)</f>
        <v>381830332</v>
      </c>
      <c r="L130" s="324" t="str">
        <f>VLOOKUP(Tableau2[[#This Row],[Colonne1]],Tableau124[#All],11,FALSE)</f>
        <v xml:space="preserve"> </v>
      </c>
      <c r="M130" s="199" t="str">
        <f>VLOOKUP(Tableau2[[#This Row],[Colonne1]],Tableau124[#All],12,FALSE)</f>
        <v>une semaine sur deux de 9h à 17h</v>
      </c>
      <c r="N130" s="487" t="str">
        <f>VLOOKUP(Tableau2[[#This Row],[Colonne1]],Tableau124[#All],13,FALSE)</f>
        <v>Réalisation de consultations avancées</v>
      </c>
    </row>
    <row r="131" spans="2:14" ht="86.45" customHeight="1">
      <c r="B131" s="196">
        <v>191</v>
      </c>
      <c r="C131" s="156" t="str">
        <f>VLOOKUP(Tableau2[[#This Row],[Colonne1]],Tableau124[#All],2,FALSE)</f>
        <v>Saône-et-Loire (71)</v>
      </c>
      <c r="D131" s="156" t="str">
        <f>VLOOKUP(Tableau2[[#This Row],[Colonne1]],Tableau124[#All],3,FALSE)</f>
        <v>Paray Le Monial</v>
      </c>
      <c r="E131" s="156">
        <f>VLOOKUP(Tableau2[[#This Row],[Colonne1]],Tableau124[#All],4,FALSE)</f>
        <v>71600</v>
      </c>
      <c r="F131" s="156" t="str">
        <f>VLOOKUP(Tableau2[[#This Row],[Colonne1]],Tableau124[#All],5,FALSE)</f>
        <v>15 A Quai de l'Industrie Quai Sud</v>
      </c>
      <c r="G131" s="156" t="str">
        <f>VLOOKUP(Tableau2[[#This Row],[Colonne1]],Tableau124[#All],6,FALSE)</f>
        <v>Antenne CSAPA</v>
      </c>
      <c r="H131" s="156" t="str">
        <f>VLOOKUP(Tableau2[[#This Row],[Colonne1]],Tableau124[#All],7,FALSE)</f>
        <v>Addictions France 71</v>
      </c>
      <c r="I131" s="156" t="str">
        <f>VLOOKUP(Tableau2[[#This Row],[Colonne1]],Tableau124[#All],8,FALSE)</f>
        <v>Associatif</v>
      </c>
      <c r="J131" s="496" t="str">
        <f>VLOOKUP(Tableau2[[#This Row],[Colonne1]],Tableau124[#All],9,FALSE)</f>
        <v>csapa.paraylemonial@addictions-France.org</v>
      </c>
      <c r="K131" s="482" t="str">
        <f>VLOOKUP(Tableau2[[#This Row],[Colonne1]],Tableau124[#All],10,FALSE)</f>
        <v>0385810906</v>
      </c>
      <c r="L131" s="502" t="str">
        <f>VLOOKUP(Tableau2[[#This Row],[Colonne1]],Tableau124[#All],11,FALSE)</f>
        <v xml:space="preserve"> </v>
      </c>
      <c r="M131" s="199" t="str">
        <f>VLOOKUP(Tableau2[[#This Row],[Colonne1]],Tableau124[#All],12,FALSE)</f>
        <v>Lundi et mardi 9h 12h30 et 13h 18h
Mercredi : 9h à 12h
Jeudi 9h 12h30 et 13h 18h
Vendredi 9h12h30 et 13h 16h</v>
      </c>
      <c r="N131" s="198" t="str">
        <f>VLOOKUP(Tableau2[[#This Row],[Colonne1]],Tableau124[#All],13,FALSE)</f>
        <v xml:space="preserve">  </v>
      </c>
    </row>
    <row r="132" spans="2:14" ht="75">
      <c r="B132" s="196">
        <v>75</v>
      </c>
      <c r="C132" s="479" t="str">
        <f>VLOOKUP(Tableau2[[#This Row],[Colonne1]],Tableau124[#All],2,FALSE)</f>
        <v>Doubs (25)</v>
      </c>
      <c r="D132" s="156" t="str">
        <f>VLOOKUP(Tableau2[[#This Row],[Colonne1]],Tableau124[#All],3,FALSE)</f>
        <v>Pont De Roide</v>
      </c>
      <c r="E132" s="156">
        <f>VLOOKUP(Tableau2[[#This Row],[Colonne1]],Tableau124[#All],4,FALSE)</f>
        <v>25100</v>
      </c>
      <c r="F132" s="156" t="str">
        <f>VLOOKUP(Tableau2[[#This Row],[Colonne1]],Tableau124[#All],5,FALSE)</f>
        <v xml:space="preserve">Maison de la Santé Rudipontaine 
3A Rue de la Résistance </v>
      </c>
      <c r="G132" s="156" t="str">
        <f>VLOOKUP(Tableau2[[#This Row],[Colonne1]],Tableau124[#All],6,FALSE)</f>
        <v>CSAPA (consultations avancées)</v>
      </c>
      <c r="H132" s="479" t="str">
        <f>VLOOKUP(Tableau2[[#This Row],[Colonne1]],Tableau124[#All],7,FALSE)</f>
        <v>CSAPA Le Relais Equinoxe - Association d'Hygiène Sociale de Franche Comté - consultations avancées</v>
      </c>
      <c r="I132" s="479" t="str">
        <f>VLOOKUP(Tableau2[[#This Row],[Colonne1]],Tableau124[#All],8,FALSE)</f>
        <v>Associatif</v>
      </c>
      <c r="J132" s="496" t="str">
        <f>VLOOKUP(Tableau2[[#This Row],[Colonne1]],Tableau124[#All],9,FALSE)</f>
        <v>pole-addictologie.nfc@ahs-fc.fr</v>
      </c>
      <c r="K132" s="482" t="str">
        <f>VLOOKUP(Tableau2[[#This Row],[Colonne1]],Tableau124[#All],10,FALSE)</f>
        <v>03-81-91-09-22</v>
      </c>
      <c r="L132" s="496" t="str">
        <f>VLOOKUP(Tableau2[[#This Row],[Colonne1]],Tableau124[#All],11,FALSE)</f>
        <v>www.ahs-fc.fr</v>
      </c>
      <c r="M132" s="199" t="str">
        <f>VLOOKUP(Tableau2[[#This Row],[Colonne1]],Tableau124[#All],12,FALSE)</f>
        <v>09H – 16H un jeudi sur deux</v>
      </c>
      <c r="N132" s="101" t="str">
        <f>VLOOKUP(Tableau2[[#This Row],[Colonne1]],Tableau124[#All],13,FALSE)</f>
        <v>Réalisation de consultations avancées</v>
      </c>
    </row>
    <row r="133" spans="2:14" ht="60">
      <c r="B133" s="196">
        <v>77</v>
      </c>
      <c r="C133" s="478" t="str">
        <f>VLOOKUP(Tableau2[[#This Row],[Colonne1]],Tableau124[#All],2,FALSE)</f>
        <v>Doubs (25)</v>
      </c>
      <c r="D133" s="478" t="str">
        <f>VLOOKUP(Tableau2[[#This Row],[Colonne1]],Tableau124[#All],3,FALSE)</f>
        <v>Pontarlier</v>
      </c>
      <c r="E133" s="478" t="str">
        <f>VLOOKUP(Tableau2[[#This Row],[Colonne1]],Tableau124[#All],4,FALSE)</f>
        <v>25300</v>
      </c>
      <c r="F133" s="478" t="str">
        <f>VLOOKUP(Tableau2[[#This Row],[Colonne1]],Tableau124[#All],5,FALSE)</f>
        <v>2 Fbg Saint-Etienne</v>
      </c>
      <c r="G133" s="111" t="str">
        <f>VLOOKUP(Tableau2[[#This Row],[Colonne1]],Tableau124[#All],6,FALSE)</f>
        <v>Consultations Hospitalières externes d'addictologie</v>
      </c>
      <c r="H133" s="478" t="str">
        <f>VLOOKUP(Tableau2[[#This Row],[Colonne1]],Tableau124[#All],7,FALSE)</f>
        <v>CHI-HC PONTARLIER</v>
      </c>
      <c r="I133" s="478" t="str">
        <f>VLOOKUP(Tableau2[[#This Row],[Colonne1]],Tableau124[#All],8,FALSE)</f>
        <v>Public</v>
      </c>
      <c r="J133" s="495" t="str">
        <f>VLOOKUP(Tableau2[[#This Row],[Colonne1]],Tableau124[#All],9,FALSE)</f>
        <v>csapa@chi-hc.fr</v>
      </c>
      <c r="K133" s="481" t="str">
        <f>VLOOKUP(Tableau2[[#This Row],[Colonne1]],Tableau124[#All],10,FALSE)</f>
        <v>03 81 38 53 64</v>
      </c>
      <c r="L133" s="502" t="str">
        <f>VLOOKUP(Tableau2[[#This Row],[Colonne1]],Tableau124[#All],11,FALSE)</f>
        <v xml:space="preserve"> </v>
      </c>
      <c r="M133" s="493" t="str">
        <f>VLOOKUP(Tableau2[[#This Row],[Colonne1]],Tableau124[#All],12,FALSE)</f>
        <v>Lundi, mardi et jeudi de 8 heures à 19 heures, mercredi et vendredi de 8 heures à 16 heures.</v>
      </c>
      <c r="N133" s="486" t="str">
        <f>VLOOKUP(Tableau2[[#This Row],[Colonne1]],Tableau124[#All],13,FALSE)</f>
        <v>Intervention auprès de public majeurs et mineurs</v>
      </c>
    </row>
    <row r="134" spans="2:14" ht="60">
      <c r="B134" s="196">
        <v>78</v>
      </c>
      <c r="C134" s="111" t="str">
        <f>VLOOKUP(Tableau2[[#This Row],[Colonne1]],Tableau124[#All],2,FALSE)</f>
        <v>Doubs (25)</v>
      </c>
      <c r="D134" s="111" t="str">
        <f>VLOOKUP(Tableau2[[#This Row],[Colonne1]],Tableau124[#All],3,FALSE)</f>
        <v>Pontarlier</v>
      </c>
      <c r="E134" s="111">
        <f>VLOOKUP(Tableau2[[#This Row],[Colonne1]],Tableau124[#All],4,FALSE)</f>
        <v>25300</v>
      </c>
      <c r="F134" s="111" t="str">
        <f>VLOOKUP(Tableau2[[#This Row],[Colonne1]],Tableau124[#All],5,FALSE)</f>
        <v>2 Fbg Saint-Etienne</v>
      </c>
      <c r="G134" s="111" t="str">
        <f>VLOOKUP(Tableau2[[#This Row],[Colonne1]],Tableau124[#All],6,FALSE)</f>
        <v>Consultations Hospitalières externes d'addictologie (autre lieu d'intervention)</v>
      </c>
      <c r="H134" s="111" t="str">
        <f>VLOOKUP(Tableau2[[#This Row],[Colonne1]],Tableau124[#All],7,FALSE)</f>
        <v>CHI-HC PONTARLIER</v>
      </c>
      <c r="I134" s="111" t="str">
        <f>VLOOKUP(Tableau2[[#This Row],[Colonne1]],Tableau124[#All],8,FALSE)</f>
        <v>Public</v>
      </c>
      <c r="J134" s="495" t="str">
        <f>VLOOKUP(Tableau2[[#This Row],[Colonne1]],Tableau124[#All],9,FALSE)</f>
        <v>csapa@chi-hc.fr</v>
      </c>
      <c r="K134" s="481" t="str">
        <f>VLOOKUP(Tableau2[[#This Row],[Colonne1]],Tableau124[#All],10,FALSE)</f>
        <v>03 81 38 53 65</v>
      </c>
      <c r="L134" s="324" t="str">
        <f>VLOOKUP(Tableau2[[#This Row],[Colonne1]],Tableau124[#All],11,FALSE)</f>
        <v xml:space="preserve"> </v>
      </c>
      <c r="M134" s="493" t="str">
        <f>VLOOKUP(Tableau2[[#This Row],[Colonne1]],Tableau124[#All],12,FALSE)</f>
        <v>deux lundis après midi/mois</v>
      </c>
      <c r="N134" s="129" t="str">
        <f>VLOOKUP(Tableau2[[#This Row],[Colonne1]],Tableau124[#All],13,FALSE)</f>
        <v>Intervention auprès de public majeurs et mineurs ainsi qu'au CHI-HC Pontarlier</v>
      </c>
    </row>
    <row r="135" spans="2:14" ht="60">
      <c r="B135" s="196">
        <v>79</v>
      </c>
      <c r="C135" s="156" t="str">
        <f>VLOOKUP(Tableau2[[#This Row],[Colonne1]],Tableau124[#All],2,FALSE)</f>
        <v>Doubs (25)</v>
      </c>
      <c r="D135" s="156" t="str">
        <f>VLOOKUP(Tableau2[[#This Row],[Colonne1]],Tableau124[#All],3,FALSE)</f>
        <v>Pontarlier</v>
      </c>
      <c r="E135" s="156" t="str">
        <f>VLOOKUP(Tableau2[[#This Row],[Colonne1]],Tableau124[#All],4,FALSE)</f>
        <v>25300</v>
      </c>
      <c r="F135" s="156" t="str">
        <f>VLOOKUP(Tableau2[[#This Row],[Colonne1]],Tableau124[#All],5,FALSE)</f>
        <v>9, rue Aristide Briand</v>
      </c>
      <c r="G135" s="156" t="str">
        <f>VLOOKUP(Tableau2[[#This Row],[Colonne1]],Tableau124[#All],6,FALSE)</f>
        <v>CSAPA</v>
      </c>
      <c r="H135" s="156" t="str">
        <f>VLOOKUP(Tableau2[[#This Row],[Colonne1]],Tableau124[#All],7,FALSE)</f>
        <v>CSAPA CHI-HC</v>
      </c>
      <c r="I135" s="156" t="str">
        <f>VLOOKUP(Tableau2[[#This Row],[Colonne1]],Tableau124[#All],8,FALSE)</f>
        <v>Public</v>
      </c>
      <c r="J135" s="496" t="str">
        <f>VLOOKUP(Tableau2[[#This Row],[Colonne1]],Tableau124[#All],9,FALSE)</f>
        <v>csapa@chi-hc.fr</v>
      </c>
      <c r="K135" s="482" t="str">
        <f>VLOOKUP(Tableau2[[#This Row],[Colonne1]],Tableau124[#All],10,FALSE)</f>
        <v>03 81 38 53 64</v>
      </c>
      <c r="L135" s="324" t="str">
        <f>VLOOKUP(Tableau2[[#This Row],[Colonne1]],Tableau124[#All],11,FALSE)</f>
        <v xml:space="preserve"> </v>
      </c>
      <c r="M135" s="199" t="str">
        <f>VLOOKUP(Tableau2[[#This Row],[Colonne1]],Tableau124[#All],12,FALSE)</f>
        <v>Lundi-Mardi-Jeudi de 8 heures à 19 heures 
Mercredi et Vendredi de 8 heures à 16 heures</v>
      </c>
      <c r="N135" s="492" t="str">
        <f>VLOOKUP(Tableau2[[#This Row],[Colonne1]],Tableau124[#All],13,FALSE)</f>
        <v>- réalisation de consultations avancées sur Morteau ;
- présence d'une CJC</v>
      </c>
    </row>
    <row r="136" spans="2:14" ht="60">
      <c r="B136" s="196">
        <v>76</v>
      </c>
      <c r="C136" s="508" t="str">
        <f>VLOOKUP(Tableau2[[#This Row],[Colonne1]],Tableau124[#All],2,FALSE)</f>
        <v>Doubs (25)</v>
      </c>
      <c r="D136" s="508" t="str">
        <f>VLOOKUP(Tableau2[[#This Row],[Colonne1]],Tableau124[#All],3,FALSE)</f>
        <v>Pontarlier</v>
      </c>
      <c r="E136" s="508" t="str">
        <f>VLOOKUP(Tableau2[[#This Row],[Colonne1]],Tableau124[#All],4,FALSE)</f>
        <v>25300</v>
      </c>
      <c r="F136" s="508" t="str">
        <f>VLOOKUP(Tableau2[[#This Row],[Colonne1]],Tableau124[#All],5,FALSE)</f>
        <v>2 Fbg Saint-Etienne</v>
      </c>
      <c r="G136" s="508" t="str">
        <f>VLOOKUP(Tableau2[[#This Row],[Colonne1]],Tableau124[#All],6,FALSE)</f>
        <v>CJC</v>
      </c>
      <c r="H136" s="508" t="str">
        <f>VLOOKUP(Tableau2[[#This Row],[Colonne1]],Tableau124[#All],7,FALSE)</f>
        <v>CSAPA CHI-HC</v>
      </c>
      <c r="I136" s="508" t="str">
        <f>VLOOKUP(Tableau2[[#This Row],[Colonne1]],Tableau124[#All],8,FALSE)</f>
        <v>Public</v>
      </c>
      <c r="J136" s="522" t="str">
        <f>VLOOKUP(Tableau2[[#This Row],[Colonne1]],Tableau124[#All],9,FALSE)</f>
        <v>csapa@chi-hc.fr</v>
      </c>
      <c r="K136" s="509" t="str">
        <f>VLOOKUP(Tableau2[[#This Row],[Colonne1]],Tableau124[#All],10,FALSE)</f>
        <v>03 81 38 53 64</v>
      </c>
      <c r="L136" s="642" t="str">
        <f>VLOOKUP(Tableau2[[#This Row],[Colonne1]],Tableau124[#All],11,FALSE)</f>
        <v xml:space="preserve"> </v>
      </c>
      <c r="M136" s="523" t="str">
        <f>VLOOKUP(Tableau2[[#This Row],[Colonne1]],Tableau124[#All],12,FALSE)</f>
        <v>Lundi et mardi de 8 heures à 19 heures et vendredi de 8 heures à 16 heures</v>
      </c>
      <c r="N136" s="524" t="str">
        <f>VLOOKUP(Tableau2[[#This Row],[Colonne1]],Tableau124[#All],13,FALSE)</f>
        <v xml:space="preserve">- Accueil des familles ; 
- Orientation sur rendez-vous ;
- CJC accessible à la famille et l'entourage ; 
- locaux identiques à ceux du CSAPA. </v>
      </c>
    </row>
    <row r="137" spans="2:14" ht="60">
      <c r="B137" s="196">
        <v>80</v>
      </c>
      <c r="C137" s="156" t="str">
        <f>VLOOKUP(Tableau2[[#This Row],[Colonne1]],Tableau124[#All],2,FALSE)</f>
        <v>Doubs (25)</v>
      </c>
      <c r="D137" s="156" t="str">
        <f>VLOOKUP(Tableau2[[#This Row],[Colonne1]],Tableau124[#All],3,FALSE)</f>
        <v>Pontarlier</v>
      </c>
      <c r="E137" s="156">
        <f>VLOOKUP(Tableau2[[#This Row],[Colonne1]],Tableau124[#All],4,FALSE)</f>
        <v>25300</v>
      </c>
      <c r="F137" s="156" t="str">
        <f>VLOOKUP(Tableau2[[#This Row],[Colonne1]],Tableau124[#All],5,FALSE)</f>
        <v>Maison de santé de Pontarlier, 16  rue De la Fontaine</v>
      </c>
      <c r="G137" s="156" t="str">
        <f>VLOOKUP(Tableau2[[#This Row],[Colonne1]],Tableau124[#All],6,FALSE)</f>
        <v>CSAPA (consultations avancées)</v>
      </c>
      <c r="H137" s="156" t="str">
        <f>VLOOKUP(Tableau2[[#This Row],[Colonne1]],Tableau124[#All],7,FALSE)</f>
        <v>CSAPA de Besançon - Association Addictions France - consultations avancées</v>
      </c>
      <c r="I137" s="156" t="str">
        <f>VLOOKUP(Tableau2[[#This Row],[Colonne1]],Tableau124[#All],8,FALSE)</f>
        <v>Associatif</v>
      </c>
      <c r="J137" s="496" t="str">
        <f>VLOOKUP(Tableau2[[#This Row],[Colonne1]],Tableau124[#All],9,FALSE)</f>
        <v>csapa.besancon@addictions-france.org</v>
      </c>
      <c r="K137" s="482" t="str">
        <f>VLOOKUP(Tableau2[[#This Row],[Colonne1]],Tableau124[#All],10,FALSE)</f>
        <v>03.81.83.22.75</v>
      </c>
      <c r="L137" s="496" t="str">
        <f>VLOOKUP(Tableau2[[#This Row],[Colonne1]],Tableau124[#All],11,FALSE)</f>
        <v>www.addictions-france.org</v>
      </c>
      <c r="M137" s="199" t="str">
        <f>VLOOKUP(Tableau2[[#This Row],[Colonne1]],Tableau124[#All],12,FALSE)</f>
        <v>Mardi de 9h30 à 16h30</v>
      </c>
      <c r="N137" s="487" t="str">
        <f>VLOOKUP(Tableau2[[#This Row],[Colonne1]],Tableau124[#All],13,FALSE)</f>
        <v>Réalisation de consultations avancées</v>
      </c>
    </row>
    <row r="138" spans="2:14" ht="60">
      <c r="B138" s="196">
        <v>83</v>
      </c>
      <c r="C138" s="156" t="str">
        <f>VLOOKUP(Tableau2[[#This Row],[Colonne1]],Tableau124[#All],2,FALSE)</f>
        <v>Doubs (25)</v>
      </c>
      <c r="D138" s="156" t="str">
        <f>VLOOKUP(Tableau2[[#This Row],[Colonne1]],Tableau124[#All],3,FALSE)</f>
        <v>Quingey</v>
      </c>
      <c r="E138" s="156">
        <f>VLOOKUP(Tableau2[[#This Row],[Colonne1]],Tableau124[#All],4,FALSE)</f>
        <v>25440</v>
      </c>
      <c r="F138" s="156" t="str">
        <f>VLOOKUP(Tableau2[[#This Row],[Colonne1]],Tableau124[#All],5,FALSE)</f>
        <v>Mairie de Quingey, 1 place d'armes</v>
      </c>
      <c r="G138" s="156" t="str">
        <f>VLOOKUP(Tableau2[[#This Row],[Colonne1]],Tableau124[#All],6,FALSE)</f>
        <v>CSAPA (consultations avancées)</v>
      </c>
      <c r="H138" s="156" t="str">
        <f>VLOOKUP(Tableau2[[#This Row],[Colonne1]],Tableau124[#All],7,FALSE)</f>
        <v>CSAPA de Besançon - Association Addictions France- consultations avancées</v>
      </c>
      <c r="I138" s="156" t="str">
        <f>VLOOKUP(Tableau2[[#This Row],[Colonne1]],Tableau124[#All],8,FALSE)</f>
        <v>Associatif</v>
      </c>
      <c r="J138" s="496" t="str">
        <f>VLOOKUP(Tableau2[[#This Row],[Colonne1]],Tableau124[#All],9,FALSE)</f>
        <v>csapa.besancon@addictions-france.org</v>
      </c>
      <c r="K138" s="482" t="str">
        <f>VLOOKUP(Tableau2[[#This Row],[Colonne1]],Tableau124[#All],10,FALSE)</f>
        <v>03.81.83.22.77</v>
      </c>
      <c r="L138" s="318" t="str">
        <f>VLOOKUP(Tableau2[[#This Row],[Colonne1]],Tableau124[#All],11,FALSE)</f>
        <v>www.addictions-france.org</v>
      </c>
      <c r="M138" s="101" t="str">
        <f>VLOOKUP(Tableau2[[#This Row],[Colonne1]],Tableau124[#All],12,FALSE)</f>
        <v>Vendredi de 8h30 à 11h30</v>
      </c>
      <c r="N138" s="487" t="str">
        <f>VLOOKUP(Tableau2[[#This Row],[Colonne1]],Tableau124[#All],13,FALSE)</f>
        <v>Réalisation de consultations avancées</v>
      </c>
    </row>
    <row r="139" spans="2:14" ht="45">
      <c r="B139" s="196">
        <v>102</v>
      </c>
      <c r="C139" s="479" t="str">
        <f>VLOOKUP(Tableau2[[#This Row],[Colonne1]],Tableau124[#All],2,FALSE)</f>
        <v>Haute-Saône (70)</v>
      </c>
      <c r="D139" s="479" t="str">
        <f>VLOOKUP(Tableau2[[#This Row],[Colonne1]],Tableau124[#All],3,FALSE)</f>
        <v>Rioz</v>
      </c>
      <c r="E139" s="479">
        <f>VLOOKUP(Tableau2[[#This Row],[Colonne1]],Tableau124[#All],4,FALSE)</f>
        <v>70190</v>
      </c>
      <c r="F139" s="156" t="str">
        <f>VLOOKUP(Tableau2[[#This Row],[Colonne1]],Tableau124[#All],5,FALSE)</f>
        <v>CMS - Rue du Clair Soleil</v>
      </c>
      <c r="G139" s="479" t="str">
        <f>VLOOKUP(Tableau2[[#This Row],[Colonne1]],Tableau124[#All],6,FALSE)</f>
        <v>CSAPA (consultations avancées)</v>
      </c>
      <c r="H139" s="479" t="str">
        <f>VLOOKUP(Tableau2[[#This Row],[Colonne1]],Tableau124[#All],7,FALSE)</f>
        <v>Association Addictions France en Haute-Saône - consultations avancées</v>
      </c>
      <c r="I139" s="479" t="str">
        <f>VLOOKUP(Tableau2[[#This Row],[Colonne1]],Tableau124[#All],8,FALSE)</f>
        <v>Associatif</v>
      </c>
      <c r="J139" s="496" t="str">
        <f>VLOOKUP(Tableau2[[#This Row],[Colonne1]],Tableau124[#All],9,FALSE)</f>
        <v>csapa.vesoul@addictions-france.org</v>
      </c>
      <c r="K139" s="482" t="str">
        <f>VLOOKUP(Tableau2[[#This Row],[Colonne1]],Tableau124[#All],10,FALSE)</f>
        <v>03-84-76-75-75</v>
      </c>
      <c r="L139" s="496" t="str">
        <f>VLOOKUP(Tableau2[[#This Row],[Colonne1]],Tableau124[#All],11,FALSE)</f>
        <v>https://addictions-france.org</v>
      </c>
      <c r="M139" s="199" t="str">
        <f>VLOOKUP(Tableau2[[#This Row],[Colonne1]],Tableau124[#All],12,FALSE)</f>
        <v>Jeudi 13h30-17h (1 fois par mois)</v>
      </c>
      <c r="N139" s="487" t="str">
        <f>VLOOKUP(Tableau2[[#This Row],[Colonne1]],Tableau124[#All],13,FALSE)</f>
        <v>Réalisation de consultations avancées</v>
      </c>
    </row>
    <row r="140" spans="2:14" ht="120">
      <c r="B140" s="196">
        <v>137</v>
      </c>
      <c r="C140" s="479" t="str">
        <f>VLOOKUP(Tableau2[[#This Row],[Colonne1]],Tableau124[#All],2,FALSE)</f>
        <v>Jura (39)</v>
      </c>
      <c r="D140" s="479" t="str">
        <f>VLOOKUP(Tableau2[[#This Row],[Colonne1]],Tableau124[#All],3,FALSE)</f>
        <v>Saint-Claude</v>
      </c>
      <c r="E140" s="479">
        <f>VLOOKUP(Tableau2[[#This Row],[Colonne1]],Tableau124[#All],4,FALSE)</f>
        <v>39200</v>
      </c>
      <c r="F140" s="479" t="str">
        <f>VLOOKUP(Tableau2[[#This Row],[Colonne1]],Tableau124[#All],5,FALSE)</f>
        <v>45 rue due Collège</v>
      </c>
      <c r="G140" s="479" t="str">
        <f>VLOOKUP(Tableau2[[#This Row],[Colonne1]],Tableau124[#All],6,FALSE)</f>
        <v>Antenne CSAPA</v>
      </c>
      <c r="H140" s="479" t="str">
        <f>VLOOKUP(Tableau2[[#This Row],[Colonne1]],Tableau124[#All],7,FALSE)</f>
        <v>CSAPA Oppelia Passerelle 39</v>
      </c>
      <c r="I140" s="479" t="str">
        <f>VLOOKUP(Tableau2[[#This Row],[Colonne1]],Tableau124[#All],8,FALSE)</f>
        <v>Associatif</v>
      </c>
      <c r="J140" s="496" t="str">
        <f>VLOOKUP(Tableau2[[#This Row],[Colonne1]],Tableau124[#All],9,FALSE)</f>
        <v>contactp39@oppelia.fr</v>
      </c>
      <c r="K140" s="482" t="str">
        <f>VLOOKUP(Tableau2[[#This Row],[Colonne1]],Tableau124[#All],10,FALSE)</f>
        <v>03 84 24 66 83</v>
      </c>
      <c r="L140" s="503" t="str">
        <f>VLOOKUP(Tableau2[[#This Row],[Colonne1]],Tableau124[#All],11,FALSE)</f>
        <v>https://www.oppelia.fr/etablissement/passerelle-39-lons-le-saunier/</v>
      </c>
      <c r="M140" s="199" t="str">
        <f>VLOOKUP(Tableau2[[#This Row],[Colonne1]],Tableau124[#All],12,FALSE)</f>
        <v>Lundi: 10h à 12h - 14h à 13h30-17h, Mardi: 9h à 12h - 13h à 18h, Mercredi 9h - 12h - 13h-17h30, jeudi 9h à 12h - 13h à 19h, vendredi: 10h à 12h - 13h à 17h30</v>
      </c>
      <c r="N140" s="198" t="str">
        <f>VLOOKUP(Tableau2[[#This Row],[Colonne1]],Tableau124[#All],13,FALSE)</f>
        <v>- suivi médico-psycho-social : accueil, entretiens, consultations ; 
- mise à disposition de matériel de consommation à moindre risque ;
- proposition de test rapide d'orientation diagnostic (TROD) ; 
- dispositifs anti-overdose à disposition ; 
- présence d'une CJC.</v>
      </c>
    </row>
    <row r="141" spans="2:14" ht="75">
      <c r="B141" s="196">
        <v>138</v>
      </c>
      <c r="C141" s="156" t="str">
        <f>VLOOKUP(Tableau2[[#This Row],[Colonne1]],Tableau124[#All],2,FALSE)</f>
        <v>Jura (39)</v>
      </c>
      <c r="D141" s="156" t="str">
        <f>VLOOKUP(Tableau2[[#This Row],[Colonne1]],Tableau124[#All],3,FALSE)</f>
        <v>Saint-Claude</v>
      </c>
      <c r="E141" s="156">
        <f>VLOOKUP(Tableau2[[#This Row],[Colonne1]],Tableau124[#All],4,FALSE)</f>
        <v>39200</v>
      </c>
      <c r="F141" s="156" t="str">
        <f>VLOOKUP(Tableau2[[#This Row],[Colonne1]],Tableau124[#All],5,FALSE)</f>
        <v xml:space="preserve"> Centre de Périnatalité de Proximité de Saint-Claude, 2 Rue de l'Hôpital</v>
      </c>
      <c r="G141" s="156" t="str">
        <f>VLOOKUP(Tableau2[[#This Row],[Colonne1]],Tableau124[#All],6,FALSE)</f>
        <v>CSAPA (consultations avancées)</v>
      </c>
      <c r="H141" s="156" t="str">
        <f>VLOOKUP(Tableau2[[#This Row],[Colonne1]],Tableau124[#All],7,FALSE)</f>
        <v>CSAPA - Oppélia39 - consultations avancées - Centre de Périnatalité de Proximité de Saint-Claude</v>
      </c>
      <c r="I141" s="156" t="str">
        <f>VLOOKUP(Tableau2[[#This Row],[Colonne1]],Tableau124[#All],8,FALSE)</f>
        <v>Associatif</v>
      </c>
      <c r="J141" s="496" t="str">
        <f>VLOOKUP(Tableau2[[#This Row],[Colonne1]],Tableau124[#All],9,FALSE)</f>
        <v>contactp39@oppelia.fr</v>
      </c>
      <c r="K141" s="482" t="str">
        <f>VLOOKUP(Tableau2[[#This Row],[Colonne1]],Tableau124[#All],10,FALSE)</f>
        <v>03 84 24 66 83</v>
      </c>
      <c r="L141" s="496" t="str">
        <f>VLOOKUP(Tableau2[[#This Row],[Colonne1]],Tableau124[#All],11,FALSE)</f>
        <v>https://www.oppelia.fr/etablissement/passerelle-39-saint-claude/</v>
      </c>
      <c r="M141" s="479" t="str">
        <f>VLOOKUP(Tableau2[[#This Row],[Colonne1]],Tableau124[#All],12,FALSE)</f>
        <v>Lundi : 10h à 12h30 - 13h30 à 16h</v>
      </c>
      <c r="N141" s="487" t="str">
        <f>VLOOKUP(Tableau2[[#This Row],[Colonne1]],Tableau124[#All],13,FALSE)</f>
        <v>Réalisation de consultations avancées</v>
      </c>
    </row>
    <row r="142" spans="2:14" ht="30">
      <c r="B142" s="196">
        <v>140</v>
      </c>
      <c r="C142" s="156" t="str">
        <f>VLOOKUP(Tableau2[[#This Row],[Colonne1]],Tableau124[#All],2,FALSE)</f>
        <v>Jura (39)</v>
      </c>
      <c r="D142" s="156" t="str">
        <f>VLOOKUP(Tableau2[[#This Row],[Colonne1]],Tableau124[#All],3,FALSE)</f>
        <v>Salins Les Bains</v>
      </c>
      <c r="E142" s="156">
        <f>VLOOKUP(Tableau2[[#This Row],[Colonne1]],Tableau124[#All],4,FALSE)</f>
        <v>39110</v>
      </c>
      <c r="F142" s="156" t="str">
        <f>VLOOKUP(Tableau2[[#This Row],[Colonne1]],Tableau124[#All],5,FALSE)</f>
        <v>Passage du Docteur Germain</v>
      </c>
      <c r="G142" s="156" t="str">
        <f>VLOOKUP(Tableau2[[#This Row],[Colonne1]],Tableau124[#All],6,FALSE)</f>
        <v>CSAPA (consultations avancées)</v>
      </c>
      <c r="H142" s="156" t="str">
        <f>VLOOKUP(Tableau2[[#This Row],[Colonne1]],Tableau124[#All],7,FALSE)</f>
        <v>CSAPA de l'ADLCA - consultations avancées</v>
      </c>
      <c r="I142" s="156" t="str">
        <f>VLOOKUP(Tableau2[[#This Row],[Colonne1]],Tableau124[#All],8,FALSE)</f>
        <v>Associatif</v>
      </c>
      <c r="J142" s="496" t="str">
        <f>VLOOKUP(Tableau2[[#This Row],[Colonne1]],Tableau124[#All],9,FALSE)</f>
        <v>lons@csapa-adlca.fr</v>
      </c>
      <c r="K142" s="482" t="str">
        <f>VLOOKUP(Tableau2[[#This Row],[Colonne1]],Tableau124[#All],10,FALSE)</f>
        <v>0384240573</v>
      </c>
      <c r="L142" s="496" t="str">
        <f>VLOOKUP(Tableau2[[#This Row],[Colonne1]],Tableau124[#All],11,FALSE)</f>
        <v>https://csapa-adlca.fr/</v>
      </c>
      <c r="M142" s="199" t="str">
        <f>VLOOKUP(Tableau2[[#This Row],[Colonne1]],Tableau124[#All],12,FALSE)</f>
        <v>mercredi de 14h à 17h</v>
      </c>
      <c r="N142" s="487" t="str">
        <f>VLOOKUP(Tableau2[[#This Row],[Colonne1]],Tableau124[#All],13,FALSE)</f>
        <v>Réalisation de consultations avancées</v>
      </c>
    </row>
    <row r="143" spans="2:14" ht="45">
      <c r="B143" s="196">
        <v>39</v>
      </c>
      <c r="C143" s="156" t="str">
        <f>VLOOKUP(Tableau2[[#This Row],[Colonne1]],Tableau124[#All],2,FALSE)</f>
        <v>Côte-d’Or (21)</v>
      </c>
      <c r="D143" s="156" t="str">
        <f>VLOOKUP(Tableau2[[#This Row],[Colonne1]],Tableau124[#All],3,FALSE)</f>
        <v>Saulieu</v>
      </c>
      <c r="E143" s="156">
        <f>VLOOKUP(Tableau2[[#This Row],[Colonne1]],Tableau124[#All],4,FALSE)</f>
        <v>21210</v>
      </c>
      <c r="F143" s="156" t="str">
        <f>VLOOKUP(Tableau2[[#This Row],[Colonne1]],Tableau124[#All],5,FALSE)</f>
        <v>2 rue Courtépée</v>
      </c>
      <c r="G143" s="156" t="str">
        <f>VLOOKUP(Tableau2[[#This Row],[Colonne1]],Tableau124[#All],6,FALSE)</f>
        <v>Antenne CSAPA</v>
      </c>
      <c r="H143" s="156" t="str">
        <f>VLOOKUP(Tableau2[[#This Row],[Colonne1]],Tableau124[#All],7,FALSE)</f>
        <v>Association Addictions France 21</v>
      </c>
      <c r="I143" s="156" t="str">
        <f>VLOOKUP(Tableau2[[#This Row],[Colonne1]],Tableau124[#All],8,FALSE)</f>
        <v>Associatif</v>
      </c>
      <c r="J143" s="496" t="str">
        <f>VLOOKUP(Tableau2[[#This Row],[Colonne1]],Tableau124[#All],9,FALSE)</f>
        <v>csapa.dijon@addictions-france.org</v>
      </c>
      <c r="K143" s="482" t="str">
        <f>VLOOKUP(Tableau2[[#This Row],[Colonne1]],Tableau124[#All],10,FALSE)</f>
        <v>03 80 73 26 32</v>
      </c>
      <c r="L143" s="502" t="str">
        <f>VLOOKUP(Tableau2[[#This Row],[Colonne1]],Tableau124[#All],11,FALSE)</f>
        <v xml:space="preserve"> </v>
      </c>
      <c r="M143" s="199" t="str">
        <f>VLOOKUP(Tableau2[[#This Row],[Colonne1]],Tableau124[#All],12,FALSE)</f>
        <v>Jeudi : semaine paire 10h-16h30, semaine impaire 13h30 17h</v>
      </c>
      <c r="N143" s="198" t="str">
        <f>VLOOKUP(Tableau2[[#This Row],[Colonne1]],Tableau124[#All],13,FALSE)</f>
        <v xml:space="preserve">  </v>
      </c>
    </row>
    <row r="144" spans="2:14" ht="60">
      <c r="B144" s="196">
        <v>40</v>
      </c>
      <c r="C144" s="504" t="str">
        <f>VLOOKUP(Tableau2[[#This Row],[Colonne1]],Tableau124[#All],2,FALSE)</f>
        <v>Côte-d’Or (21)</v>
      </c>
      <c r="D144" s="111" t="str">
        <f>VLOOKUP(Tableau2[[#This Row],[Colonne1]],Tableau124[#All],3,FALSE)</f>
        <v>Saulieu</v>
      </c>
      <c r="E144" s="111">
        <f>VLOOKUP(Tableau2[[#This Row],[Colonne1]],Tableau124[#All],4,FALSE)</f>
        <v>21210</v>
      </c>
      <c r="F144" s="111" t="str">
        <f>VLOOKUP(Tableau2[[#This Row],[Colonne1]],Tableau124[#All],5,FALSE)</f>
        <v>2 Rue Claude Courtepée</v>
      </c>
      <c r="G144" s="111" t="str">
        <f>VLOOKUP(Tableau2[[#This Row],[Colonne1]],Tableau124[#All],6,FALSE)</f>
        <v>Consultations Hospitalières externes d'addictologie (autre lieu d'intervention)</v>
      </c>
      <c r="H144" s="111" t="str">
        <f>VLOOKUP(Tableau2[[#This Row],[Colonne1]],Tableau124[#All],7,FALSE)</f>
        <v>CENTRE HOSPITALIER - CHA (CENTRE HOSPITALIER ROBERT MORLEVAT  SEMUR EN AUXOIS)</v>
      </c>
      <c r="I144" s="111" t="str">
        <f>VLOOKUP(Tableau2[[#This Row],[Colonne1]],Tableau124[#All],8,FALSE)</f>
        <v>Public</v>
      </c>
      <c r="J144" s="495" t="str">
        <f>VLOOKUP(Tableau2[[#This Row],[Colonne1]],Tableau124[#All],9,FALSE)</f>
        <v>secretariat.psychiatrie@ch-semur.fr</v>
      </c>
      <c r="K144" s="481" t="str">
        <f>VLOOKUP(Tableau2[[#This Row],[Colonne1]],Tableau124[#All],10,FALSE)</f>
        <v>03.80.89.64.72</v>
      </c>
      <c r="L144" s="311" t="str">
        <f>VLOOKUP(Tableau2[[#This Row],[Colonne1]],Tableau124[#All],11,FALSE)</f>
        <v>www.ch-semur.fr</v>
      </c>
      <c r="M144" s="493" t="str">
        <f>VLOOKUP(Tableau2[[#This Row],[Colonne1]],Tableau124[#All],12,FALSE)</f>
        <v>SUR RDV</v>
      </c>
      <c r="N144" s="657" t="str">
        <f>VLOOKUP(Tableau2[[#This Row],[Colonne1]],Tableau124[#All],13,FALSE)</f>
        <v>Intervention auprès de public majeurs et mineurs, ainsi qu'au Centre Hospitalier Robert Morlevat</v>
      </c>
    </row>
    <row r="145" spans="1:14" ht="86.45" customHeight="1">
      <c r="B145" s="196">
        <v>41</v>
      </c>
      <c r="C145" s="156" t="str">
        <f>VLOOKUP(Tableau2[[#This Row],[Colonne1]],Tableau124[#All],2,FALSE)</f>
        <v>Côte-d’Or (21)</v>
      </c>
      <c r="D145" s="156" t="str">
        <f>VLOOKUP(Tableau2[[#This Row],[Colonne1]],Tableau124[#All],3,FALSE)</f>
        <v>Selongey</v>
      </c>
      <c r="E145" s="156">
        <f>VLOOKUP(Tableau2[[#This Row],[Colonne1]],Tableau124[#All],4,FALSE)</f>
        <v>21260</v>
      </c>
      <c r="F145" s="156" t="str">
        <f>VLOOKUP(Tableau2[[#This Row],[Colonne1]],Tableau124[#All],5,FALSE)</f>
        <v>Rue du rang Pastourelle</v>
      </c>
      <c r="G145" s="156" t="str">
        <f>VLOOKUP(Tableau2[[#This Row],[Colonne1]],Tableau124[#All],6,FALSE)</f>
        <v>Antenne CSAPA</v>
      </c>
      <c r="H145" s="156" t="str">
        <f>VLOOKUP(Tableau2[[#This Row],[Colonne1]],Tableau124[#All],7,FALSE)</f>
        <v>CSAPA Tivoli, Caarud le Spot - SEDAP</v>
      </c>
      <c r="I145" s="156" t="str">
        <f>VLOOKUP(Tableau2[[#This Row],[Colonne1]],Tableau124[#All],8,FALSE)</f>
        <v>Associatif</v>
      </c>
      <c r="J145" s="496" t="str">
        <f>VLOOKUP(Tableau2[[#This Row],[Colonne1]],Tableau124[#All],9,FALSE)</f>
        <v>seine-tilles@addictions-sedap.fr</v>
      </c>
      <c r="K145" s="482">
        <f>VLOOKUP(Tableau2[[#This Row],[Colonne1]],Tableau124[#All],10,FALSE)</f>
        <v>811466280</v>
      </c>
      <c r="L145" s="502" t="str">
        <f>VLOOKUP(Tableau2[[#This Row],[Colonne1]],Tableau124[#All],11,FALSE)</f>
        <v xml:space="preserve"> </v>
      </c>
      <c r="M145" s="199" t="str">
        <f>VLOOKUP(Tableau2[[#This Row],[Colonne1]],Tableau124[#All],12,FALSE)</f>
        <v>lundi, mercredi 9h-12h/14h-18h et vendredi  9h-12h</v>
      </c>
      <c r="N145" s="198" t="str">
        <f>VLOOKUP(Tableau2[[#This Row],[Colonne1]],Tableau124[#All],13,FALSE)</f>
        <v xml:space="preserve">  </v>
      </c>
    </row>
    <row r="146" spans="1:14" ht="75">
      <c r="B146" s="196">
        <v>42</v>
      </c>
      <c r="C146" s="111" t="str">
        <f>VLOOKUP(Tableau2[[#This Row],[Colonne1]],Tableau124[#All],2,FALSE)</f>
        <v>Côte-d’Or (21)</v>
      </c>
      <c r="D146" s="111" t="str">
        <f>VLOOKUP(Tableau2[[#This Row],[Colonne1]],Tableau124[#All],3,FALSE)</f>
        <v>Semur-En-Auxois</v>
      </c>
      <c r="E146" s="111">
        <f>VLOOKUP(Tableau2[[#This Row],[Colonne1]],Tableau124[#All],4,FALSE)</f>
        <v>21140</v>
      </c>
      <c r="F146" s="111" t="str">
        <f>VLOOKUP(Tableau2[[#This Row],[Colonne1]],Tableau124[#All],5,FALSE)</f>
        <v>3 Av. Pasteur</v>
      </c>
      <c r="G146" s="111" t="str">
        <f>VLOOKUP(Tableau2[[#This Row],[Colonne1]],Tableau124[#All],6,FALSE)</f>
        <v>Consultations Hospitalières externes d'addictologie (autre lieu d'intervention)</v>
      </c>
      <c r="H146" s="111" t="str">
        <f>VLOOKUP(Tableau2[[#This Row],[Colonne1]],Tableau124[#All],7,FALSE)</f>
        <v xml:space="preserve">Centre Hospitalier - CHA (Centre Hospitalier Robert Morlevat) </v>
      </c>
      <c r="I146" s="111" t="str">
        <f>VLOOKUP(Tableau2[[#This Row],[Colonne1]],Tableau124[#All],8,FALSE)</f>
        <v>Public</v>
      </c>
      <c r="J146" s="495" t="str">
        <f>VLOOKUP(Tableau2[[#This Row],[Colonne1]],Tableau124[#All],9,FALSE)</f>
        <v>secretariat.psychiatrie@ch-semur.fr</v>
      </c>
      <c r="K146" s="481" t="str">
        <f>VLOOKUP(Tableau2[[#This Row],[Colonne1]],Tableau124[#All],10,FALSE)</f>
        <v>03.80.89.64.72</v>
      </c>
      <c r="L146" s="495" t="str">
        <f>VLOOKUP(Tableau2[[#This Row],[Colonne1]],Tableau124[#All],11,FALSE)</f>
        <v>www.ch-semur.fr</v>
      </c>
      <c r="M146" s="493" t="str">
        <f>VLOOKUP(Tableau2[[#This Row],[Colonne1]],Tableau124[#All],12,FALSE)</f>
        <v xml:space="preserve"> Dr WALLENHORST sur rdv le mardi matin et et le jeudi matin, Dr CORNET, sur rdv le mardi après-midi et le jeudi après-midi </v>
      </c>
      <c r="N146" s="486" t="str">
        <f>VLOOKUP(Tableau2[[#This Row],[Colonne1]],Tableau124[#All],13,FALSE)</f>
        <v>Intervention auprès de public majeurs et mineurs</v>
      </c>
    </row>
    <row r="147" spans="1:14" ht="75">
      <c r="B147" s="196">
        <v>234</v>
      </c>
      <c r="C147" s="111" t="str">
        <f>VLOOKUP(Tableau2[[#This Row],[Colonne1]],Tableau124[#All],2,FALSE)</f>
        <v>Yonne (89)</v>
      </c>
      <c r="D147" s="111" t="str">
        <f>VLOOKUP(Tableau2[[#This Row],[Colonne1]],Tableau124[#All],3,FALSE)</f>
        <v>Sens</v>
      </c>
      <c r="E147" s="111" t="str">
        <f>VLOOKUP(Tableau2[[#This Row],[Colonne1]],Tableau124[#All],4,FALSE)</f>
        <v>89100</v>
      </c>
      <c r="F147" s="111" t="str">
        <f>VLOOKUP(Tableau2[[#This Row],[Colonne1]],Tableau124[#All],5,FALSE)</f>
        <v>Unité mobile d'addictologie, 5e étage, 1 avenue Pierre de Coubertin</v>
      </c>
      <c r="G147" s="111" t="str">
        <f>VLOOKUP(Tableau2[[#This Row],[Colonne1]],Tableau124[#All],6,FALSE)</f>
        <v>Consultations Hospitalières externes d'addictologie</v>
      </c>
      <c r="H147" s="111" t="str">
        <f>VLOOKUP(Tableau2[[#This Row],[Colonne1]],Tableau124[#All],7,FALSE)</f>
        <v>Centre Hospitalier de Sens</v>
      </c>
      <c r="I147" s="111" t="str">
        <f>VLOOKUP(Tableau2[[#This Row],[Colonne1]],Tableau124[#All],8,FALSE)</f>
        <v>Public</v>
      </c>
      <c r="J147" s="495" t="str">
        <f>VLOOKUP(Tableau2[[#This Row],[Colonne1]],Tableau124[#All],9,FALSE)</f>
        <v xml:space="preserve">secretaddicto@ch-sens.fr </v>
      </c>
      <c r="K147" s="481" t="str">
        <f>VLOOKUP(Tableau2[[#This Row],[Colonne1]],Tableau124[#All],10,FALSE)</f>
        <v>03.86.86.15.35</v>
      </c>
      <c r="L147" s="495" t="str">
        <f>VLOOKUP(Tableau2[[#This Row],[Colonne1]],Tableau124[#All],11,FALSE)</f>
        <v>www.ch-sens.fr</v>
      </c>
      <c r="M147" s="493" t="str">
        <f>VLOOKUP(Tableau2[[#This Row],[Colonne1]],Tableau124[#All],12,FALSE)</f>
        <v>Lundi : 14h-17h
Mercredi 9h-12h / 14h-17h
Vendredi matin : 9h -12h</v>
      </c>
      <c r="N147" s="486" t="str">
        <f>VLOOKUP(Tableau2[[#This Row],[Colonne1]],Tableau124[#All],13,FALSE)</f>
        <v>Intervention auprès de public majeurs et mineurs</v>
      </c>
    </row>
    <row r="148" spans="1:14" ht="45">
      <c r="B148" s="196">
        <v>235</v>
      </c>
      <c r="C148" s="156" t="str">
        <f>VLOOKUP(Tableau2[[#This Row],[Colonne1]],Tableau124[#All],2,FALSE)</f>
        <v>Yonne (89)</v>
      </c>
      <c r="D148" s="101" t="str">
        <f>VLOOKUP(Tableau2[[#This Row],[Colonne1]],Tableau124[#All],3,FALSE)</f>
        <v>Sens</v>
      </c>
      <c r="E148" s="101">
        <f>VLOOKUP(Tableau2[[#This Row],[Colonne1]],Tableau124[#All],4,FALSE)</f>
        <v>89100</v>
      </c>
      <c r="F148" s="101" t="str">
        <f>VLOOKUP(Tableau2[[#This Row],[Colonne1]],Tableau124[#All],5,FALSE)</f>
        <v>CHRS Sens - 61 Bd du 14 Juillet</v>
      </c>
      <c r="G148" s="101" t="str">
        <f>VLOOKUP(Tableau2[[#This Row],[Colonne1]],Tableau124[#All],6,FALSE)</f>
        <v>CSAPA (consultations avancées)</v>
      </c>
      <c r="H148" s="101" t="str">
        <f>VLOOKUP(Tableau2[[#This Row],[Colonne1]],Tableau124[#All],7,FALSE)</f>
        <v>CSAPA - Association Addictions France - consultations avancées</v>
      </c>
      <c r="I148" s="101" t="str">
        <f>VLOOKUP(Tableau2[[#This Row],[Colonne1]],Tableau124[#All],8,FALSE)</f>
        <v>Associatif</v>
      </c>
      <c r="J148" s="500" t="str">
        <f>VLOOKUP(Tableau2[[#This Row],[Colonne1]],Tableau124[#All],9,FALSE)</f>
        <v>csapa.sens@addictions-france.org</v>
      </c>
      <c r="K148" s="482" t="str">
        <f>VLOOKUP(Tableau2[[#This Row],[Colonne1]],Tableau124[#All],10,FALSE)</f>
        <v xml:space="preserve"> 03 86 95 10 71</v>
      </c>
      <c r="L148" s="318" t="str">
        <f>VLOOKUP(Tableau2[[#This Row],[Colonne1]],Tableau124[#All],11,FALSE)</f>
        <v xml:space="preserve"> </v>
      </c>
      <c r="M148" s="199" t="str">
        <f>VLOOKUP(Tableau2[[#This Row],[Colonne1]],Tableau124[#All],12,FALSE)</f>
        <v>1 lundi matin sur 2</v>
      </c>
      <c r="N148" s="492" t="str">
        <f>VLOOKUP(Tableau2[[#This Row],[Colonne1]],Tableau124[#All],13,FALSE)</f>
        <v xml:space="preserve">  </v>
      </c>
    </row>
    <row r="149" spans="1:14" ht="45">
      <c r="B149" s="196">
        <v>236</v>
      </c>
      <c r="C149" s="156" t="str">
        <f>VLOOKUP(Tableau2[[#This Row],[Colonne1]],Tableau124[#All],2,FALSE)</f>
        <v>Yonne (89)</v>
      </c>
      <c r="D149" s="156" t="str">
        <f>VLOOKUP(Tableau2[[#This Row],[Colonne1]],Tableau124[#All],3,FALSE)</f>
        <v>Sens</v>
      </c>
      <c r="E149" s="156">
        <f>VLOOKUP(Tableau2[[#This Row],[Colonne1]],Tableau124[#All],4,FALSE)</f>
        <v>89100</v>
      </c>
      <c r="F149" s="156" t="str">
        <f>VLOOKUP(Tableau2[[#This Row],[Colonne1]],Tableau124[#All],5,FALSE)</f>
        <v>Centre Hospitalier 1 Avenue Pierre de Coubertin</v>
      </c>
      <c r="G149" s="156" t="str">
        <f>VLOOKUP(Tableau2[[#This Row],[Colonne1]],Tableau124[#All],6,FALSE)</f>
        <v>CSAPA (consultations avancées)</v>
      </c>
      <c r="H149" s="156" t="str">
        <f>VLOOKUP(Tableau2[[#This Row],[Colonne1]],Tableau124[#All],7,FALSE)</f>
        <v>CSAPA - Association Addictions France - consultations avancées</v>
      </c>
      <c r="I149" s="156" t="str">
        <f>VLOOKUP(Tableau2[[#This Row],[Colonne1]],Tableau124[#All],8,FALSE)</f>
        <v>Associatif</v>
      </c>
      <c r="J149" s="318" t="str">
        <f>VLOOKUP(Tableau2[[#This Row],[Colonne1]],Tableau124[#All],9,FALSE)</f>
        <v>bfc89@addictions-france.org</v>
      </c>
      <c r="K149" s="238" t="str">
        <f>VLOOKUP(Tableau2[[#This Row],[Colonne1]],Tableau124[#All],10,FALSE)</f>
        <v>03 86 92 33 33</v>
      </c>
      <c r="L149" s="496" t="str">
        <f>VLOOKUP(Tableau2[[#This Row],[Colonne1]],Tableau124[#All],11,FALSE)</f>
        <v>www.addictions-france.org</v>
      </c>
      <c r="M149" s="101" t="str">
        <f>VLOOKUP(Tableau2[[#This Row],[Colonne1]],Tableau124[#All],12,FALSE)</f>
        <v>le mercredi  de 9h à 12h30</v>
      </c>
      <c r="N149" s="101" t="str">
        <f>VLOOKUP(Tableau2[[#This Row],[Colonne1]],Tableau124[#All],13,FALSE)</f>
        <v>Réalisation de consultations avancées</v>
      </c>
    </row>
    <row r="150" spans="1:14" ht="45">
      <c r="B150" s="196">
        <v>237</v>
      </c>
      <c r="C150" s="156" t="str">
        <f>VLOOKUP(Tableau2[[#This Row],[Colonne1]],Tableau124[#All],2,FALSE)</f>
        <v>Yonne (89)</v>
      </c>
      <c r="D150" s="156" t="str">
        <f>VLOOKUP(Tableau2[[#This Row],[Colonne1]],Tableau124[#All],3,FALSE)</f>
        <v>Sens</v>
      </c>
      <c r="E150" s="156">
        <f>VLOOKUP(Tableau2[[#This Row],[Colonne1]],Tableau124[#All],4,FALSE)</f>
        <v>89100</v>
      </c>
      <c r="F150" s="156" t="str">
        <f>VLOOKUP(Tableau2[[#This Row],[Colonne1]],Tableau124[#All],5,FALSE)</f>
        <v>CHRS 61 Boulevard du 14 juillet</v>
      </c>
      <c r="G150" s="156" t="str">
        <f>VLOOKUP(Tableau2[[#This Row],[Colonne1]],Tableau124[#All],6,FALSE)</f>
        <v>CSAPA (consultations avancées)</v>
      </c>
      <c r="H150" s="156" t="str">
        <f>VLOOKUP(Tableau2[[#This Row],[Colonne1]],Tableau124[#All],7,FALSE)</f>
        <v>CSAPA - Association Addictions France - consultations avancées</v>
      </c>
      <c r="I150" s="156" t="str">
        <f>VLOOKUP(Tableau2[[#This Row],[Colonne1]],Tableau124[#All],8,FALSE)</f>
        <v>Associatif</v>
      </c>
      <c r="J150" s="498" t="str">
        <f>VLOOKUP(Tableau2[[#This Row],[Colonne1]],Tableau124[#All],9,FALSE)</f>
        <v>bfc89@addictions-france.org</v>
      </c>
      <c r="K150" s="484" t="str">
        <f>VLOOKUP(Tableau2[[#This Row],[Colonne1]],Tableau124[#All],10,FALSE)</f>
        <v>03.86.51.46.101</v>
      </c>
      <c r="L150" s="496" t="str">
        <f>VLOOKUP(Tableau2[[#This Row],[Colonne1]],Tableau124[#All],11,FALSE)</f>
        <v>www.addictions-france.org</v>
      </c>
      <c r="M150" s="479" t="str">
        <f>VLOOKUP(Tableau2[[#This Row],[Colonne1]],Tableau124[#All],12,FALSE)</f>
        <v>1 lundi sur 2 de 9h30 à 15h</v>
      </c>
      <c r="N150" s="480" t="str">
        <f>VLOOKUP(Tableau2[[#This Row],[Colonne1]],Tableau124[#All],13,FALSE)</f>
        <v>Réalisation de consultations avancées</v>
      </c>
    </row>
    <row r="151" spans="1:14" ht="120">
      <c r="B151" s="196">
        <v>233</v>
      </c>
      <c r="C151" s="156" t="str">
        <f>VLOOKUP(Tableau2[[#This Row],[Colonne1]],Tableau124[#All],2,FALSE)</f>
        <v>Yonne (89)</v>
      </c>
      <c r="D151" s="156" t="str">
        <f>VLOOKUP(Tableau2[[#This Row],[Colonne1]],Tableau124[#All],3,FALSE)</f>
        <v>Sens</v>
      </c>
      <c r="E151" s="156">
        <f>VLOOKUP(Tableau2[[#This Row],[Colonne1]],Tableau124[#All],4,FALSE)</f>
        <v>89100</v>
      </c>
      <c r="F151" s="156" t="str">
        <f>VLOOKUP(Tableau2[[#This Row],[Colonne1]],Tableau124[#All],5,FALSE)</f>
        <v>43 rue du 19 mars 1962</v>
      </c>
      <c r="G151" s="156" t="str">
        <f>VLOOKUP(Tableau2[[#This Row],[Colonne1]],Tableau124[#All],6,FALSE)</f>
        <v>Antenne CSAPA</v>
      </c>
      <c r="H151" s="156" t="str">
        <f>VLOOKUP(Tableau2[[#This Row],[Colonne1]],Tableau124[#All],7,FALSE)</f>
        <v>CSAPA - Association Addictions France</v>
      </c>
      <c r="I151" s="156" t="str">
        <f>VLOOKUP(Tableau2[[#This Row],[Colonne1]],Tableau124[#All],8,FALSE)</f>
        <v>Associatif</v>
      </c>
      <c r="J151" s="496" t="str">
        <f>VLOOKUP(Tableau2[[#This Row],[Colonne1]],Tableau124[#All],9,FALSE)</f>
        <v>csapa.sens@addictions-france.org</v>
      </c>
      <c r="K151" s="482" t="str">
        <f>VLOOKUP(Tableau2[[#This Row],[Colonne1]],Tableau124[#All],10,FALSE)</f>
        <v>03.86.95.10.71</v>
      </c>
      <c r="L151" s="324" t="str">
        <f>VLOOKUP(Tableau2[[#This Row],[Colonne1]],Tableau124[#All],11,FALSE)</f>
        <v xml:space="preserve"> </v>
      </c>
      <c r="M151" s="199" t="str">
        <f>VLOOKUP(Tableau2[[#This Row],[Colonne1]],Tableau124[#All],12,FALSE)</f>
        <v>Lundi 9h-13h / 14h-17h Mardi 9h-13h / 14h-18h Mercredi 9h-13h / 13h30-17h Jeudi 9h-13h / 14h-19h Vendredi 9h-13h / 14h-17h</v>
      </c>
      <c r="N151" s="480" t="str">
        <f>VLOOKUP(Tableau2[[#This Row],[Colonne1]],Tableau124[#All],13,FALSE)</f>
        <v>lieux de permanences : Villeneuve/Yonne et Joigny 
Lycée Janot Curie (Sens), Collège des Champs Plaisants (Sens), Collège Montpezat (Sens), Collège Mallarmé (Sens), Collège Chateaubriand (Villeneuve/Yonne), Collège "André Malraux" (Paron) et Collège Restif de la Bretonne (Pont/Yonne)</v>
      </c>
    </row>
    <row r="152" spans="1:14" s="69" customFormat="1" ht="39.6" customHeight="1">
      <c r="A152" s="68"/>
      <c r="B152" s="196">
        <v>141</v>
      </c>
      <c r="C152" s="508" t="str">
        <f>VLOOKUP(Tableau2[[#This Row],[Colonne1]],Tableau124[#All],2,FALSE)</f>
        <v>Jura (39)</v>
      </c>
      <c r="D152" s="507" t="str">
        <f>VLOOKUP(Tableau2[[#This Row],[Colonne1]],Tableau124[#All],3,FALSE)</f>
        <v>St Claude</v>
      </c>
      <c r="E152" s="507">
        <f>VLOOKUP(Tableau2[[#This Row],[Colonne1]],Tableau124[#All],4,FALSE)</f>
        <v>39200</v>
      </c>
      <c r="F152" s="508" t="str">
        <f>VLOOKUP(Tableau2[[#This Row],[Colonne1]],Tableau124[#All],5,FALSE)</f>
        <v>45 rue des prés (Saint-Claude)</v>
      </c>
      <c r="G152" s="507" t="str">
        <f>VLOOKUP(Tableau2[[#This Row],[Colonne1]],Tableau124[#All],6,FALSE)</f>
        <v>CJC</v>
      </c>
      <c r="H152" s="507" t="str">
        <f>VLOOKUP(Tableau2[[#This Row],[Colonne1]],Tableau124[#All],7,FALSE)</f>
        <v>CSAPA Oppelia Passerelle 39</v>
      </c>
      <c r="I152" s="507" t="str">
        <f>VLOOKUP(Tableau2[[#This Row],[Colonne1]],Tableau124[#All],8,FALSE)</f>
        <v>Associatif</v>
      </c>
      <c r="J152" s="522" t="str">
        <f>VLOOKUP(Tableau2[[#This Row],[Colonne1]],Tableau124[#All],9,FALSE)</f>
        <v>contactp39@oppelia.fr</v>
      </c>
      <c r="K152" s="509" t="str">
        <f>VLOOKUP(Tableau2[[#This Row],[Colonne1]],Tableau124[#All],10,FALSE)</f>
        <v>03 84 24 66 83</v>
      </c>
      <c r="L152" s="522" t="str">
        <f>VLOOKUP(Tableau2[[#This Row],[Colonne1]],Tableau124[#All],11,FALSE)</f>
        <v>https://www.oppelia.fr/etablissement/passerelle-39-saint-claude/</v>
      </c>
      <c r="M152" s="523" t="str">
        <f>VLOOKUP(Tableau2[[#This Row],[Colonne1]],Tableau124[#All],12,FALSE)</f>
        <v>Mercredi : 9h à 12h30 - 13h30 à 18h</v>
      </c>
      <c r="N152" s="524" t="str">
        <f>VLOOKUP(Tableau2[[#This Row],[Colonne1]],Tableau124[#All],13,FALSE)</f>
        <v>- Accueil des jeunes ; 
- Accueil de la famille et l'entourage ; 
- Orientation sur rendez-vous ;</v>
      </c>
    </row>
    <row r="153" spans="1:14" ht="30">
      <c r="B153" s="196">
        <v>159</v>
      </c>
      <c r="C153" s="156" t="str">
        <f>VLOOKUP(Tableau2[[#This Row],[Colonne1]],Tableau124[#All],2,FALSE)</f>
        <v>Nièvre (58)</v>
      </c>
      <c r="D153" s="156" t="str">
        <f>VLOOKUP(Tableau2[[#This Row],[Colonne1]],Tableau124[#All],3,FALSE)</f>
        <v>Tannay</v>
      </c>
      <c r="E153" s="156" t="str">
        <f>VLOOKUP(Tableau2[[#This Row],[Colonne1]],Tableau124[#All],4,FALSE)</f>
        <v>58000</v>
      </c>
      <c r="F153" s="156" t="str">
        <f>VLOOKUP(Tableau2[[#This Row],[Colonne1]],Tableau124[#All],5,FALSE)</f>
        <v>8 Place Charles Chaigneau</v>
      </c>
      <c r="G153" s="156" t="str">
        <f>VLOOKUP(Tableau2[[#This Row],[Colonne1]],Tableau124[#All],6,FALSE)</f>
        <v>Antenne CSAPA</v>
      </c>
      <c r="H153" s="156" t="str">
        <f>VLOOKUP(Tableau2[[#This Row],[Colonne1]],Tableau124[#All],7,FALSE)</f>
        <v>CSAPA - Association Addictions France</v>
      </c>
      <c r="I153" s="156" t="str">
        <f>VLOOKUP(Tableau2[[#This Row],[Colonne1]],Tableau124[#All],8,FALSE)</f>
        <v>Associatif</v>
      </c>
      <c r="J153" s="496" t="str">
        <f>VLOOKUP(Tableau2[[#This Row],[Colonne1]],Tableau124[#All],9,FALSE)</f>
        <v>bfc58@addictions-france.org</v>
      </c>
      <c r="K153" s="238" t="str">
        <f>VLOOKUP(Tableau2[[#This Row],[Colonne1]],Tableau124[#All],10,FALSE)</f>
        <v>03 86 61 56 89</v>
      </c>
      <c r="L153" s="324" t="str">
        <f>VLOOKUP(Tableau2[[#This Row],[Colonne1]],Tableau124[#All],11,FALSE)</f>
        <v xml:space="preserve"> </v>
      </c>
      <c r="M153" s="101" t="str">
        <f>VLOOKUP(Tableau2[[#This Row],[Colonne1]],Tableau124[#All],12,FALSE)</f>
        <v>Mardi, Jeudi, Vendredi : 8h30 – 12h30 / 13h30 – 17h</v>
      </c>
      <c r="N153" s="258" t="str">
        <f>VLOOKUP(Tableau2[[#This Row],[Colonne1]],Tableau124[#All],13,FALSE)</f>
        <v xml:space="preserve">  </v>
      </c>
    </row>
    <row r="154" spans="1:14" ht="75">
      <c r="B154" s="196">
        <v>240</v>
      </c>
      <c r="C154" s="156" t="str">
        <f>VLOOKUP(Tableau2[[#This Row],[Colonne1]],Tableau124[#All],2,FALSE)</f>
        <v>Yonne (89)</v>
      </c>
      <c r="D154" s="156" t="str">
        <f>VLOOKUP(Tableau2[[#This Row],[Colonne1]],Tableau124[#All],3,FALSE)</f>
        <v>Tonnerre</v>
      </c>
      <c r="E154" s="156">
        <f>VLOOKUP(Tableau2[[#This Row],[Colonne1]],Tableau124[#All],4,FALSE)</f>
        <v>89700</v>
      </c>
      <c r="F154" s="156" t="str">
        <f>VLOOKUP(Tableau2[[#This Row],[Colonne1]],Tableau124[#All],5,FALSE)</f>
        <v>Centre Périnatal de Proximité Rue Jumériaux</v>
      </c>
      <c r="G154" s="156" t="str">
        <f>VLOOKUP(Tableau2[[#This Row],[Colonne1]],Tableau124[#All],6,FALSE)</f>
        <v>CSAPA (consultations avancées)</v>
      </c>
      <c r="H154" s="156" t="str">
        <f>VLOOKUP(Tableau2[[#This Row],[Colonne1]],Tableau124[#All],7,FALSE)</f>
        <v>CSAPA - Association Addictions France - consultations avancées -  Centre de Périnatalité de Proximité de Tonnerre</v>
      </c>
      <c r="I154" s="156" t="str">
        <f>VLOOKUP(Tableau2[[#This Row],[Colonne1]],Tableau124[#All],8,FALSE)</f>
        <v>Associatif</v>
      </c>
      <c r="J154" s="318" t="str">
        <f>VLOOKUP(Tableau2[[#This Row],[Colonne1]],Tableau124[#All],9,FALSE)</f>
        <v>bfc89@addictions-france.org</v>
      </c>
      <c r="K154" s="238" t="str">
        <f>VLOOKUP(Tableau2[[#This Row],[Colonne1]],Tableau124[#All],10,FALSE)</f>
        <v>03 86 27 60 84</v>
      </c>
      <c r="L154" s="496" t="str">
        <f>VLOOKUP(Tableau2[[#This Row],[Colonne1]],Tableau124[#All],11,FALSE)</f>
        <v>www.addictions-france.org</v>
      </c>
      <c r="M154" s="199" t="str">
        <f>VLOOKUP(Tableau2[[#This Row],[Colonne1]],Tableau124[#All],12,FALSE)</f>
        <v>1 lundi sur 2 de 9h à 12h30</v>
      </c>
      <c r="N154" s="487" t="str">
        <f>VLOOKUP(Tableau2[[#This Row],[Colonne1]],Tableau124[#All],13,FALSE)</f>
        <v>Réalisation de consultations avancées</v>
      </c>
    </row>
    <row r="155" spans="1:14" ht="60">
      <c r="B155" s="196">
        <v>206</v>
      </c>
      <c r="C155" s="156" t="str">
        <f>VLOOKUP(Tableau2[[#This Row],[Colonne1]],Tableau124[#All],2,FALSE)</f>
        <v>Territoire de Belfort (90)</v>
      </c>
      <c r="D155" s="156" t="str">
        <f>VLOOKUP(Tableau2[[#This Row],[Colonne1]],Tableau124[#All],3,FALSE)</f>
        <v>Trévenans</v>
      </c>
      <c r="E155" s="156">
        <f>VLOOKUP(Tableau2[[#This Row],[Colonne1]],Tableau124[#All],4,FALSE)</f>
        <v>90400</v>
      </c>
      <c r="F155" s="156" t="str">
        <f>VLOOKUP(Tableau2[[#This Row],[Colonne1]],Tableau124[#All],5,FALSE)</f>
        <v>Hôpital Nord Franche-Comté, 100 route de Moval</v>
      </c>
      <c r="G155" s="156" t="str">
        <f>VLOOKUP(Tableau2[[#This Row],[Colonne1]],Tableau124[#All],6,FALSE)</f>
        <v>CSAPA (consultations avancées)</v>
      </c>
      <c r="H155" s="156" t="str">
        <f>VLOOKUP(Tableau2[[#This Row],[Colonne1]],Tableau124[#All],7,FALSE)</f>
        <v>CSAPA de Belfort - Association Addictions France - consultations avancées</v>
      </c>
      <c r="I155" s="156" t="str">
        <f>VLOOKUP(Tableau2[[#This Row],[Colonne1]],Tableau124[#All],8,FALSE)</f>
        <v>Associatif</v>
      </c>
      <c r="J155" s="496" t="str">
        <f>VLOOKUP(Tableau2[[#This Row],[Colonne1]],Tableau124[#All],9,FALSE)</f>
        <v>csapa.belfort@addictions-france.org</v>
      </c>
      <c r="K155" s="482" t="str">
        <f>VLOOKUP(Tableau2[[#This Row],[Colonne1]],Tableau124[#All],10,FALSE)</f>
        <v>03.84.22.31.40</v>
      </c>
      <c r="L155" s="496" t="str">
        <f>VLOOKUP(Tableau2[[#This Row],[Colonne1]],Tableau124[#All],11,FALSE)</f>
        <v>www.addictions-france.org</v>
      </c>
      <c r="M155" s="199" t="str">
        <f>VLOOKUP(Tableau2[[#This Row],[Colonne1]],Tableau124[#All],12,FALSE)</f>
        <v>Le lundi de 9h30 à 11h30 et le jeudi de 9h à 12h30</v>
      </c>
      <c r="N155" s="487" t="str">
        <f>VLOOKUP(Tableau2[[#This Row],[Colonne1]],Tableau124[#All],13,FALSE)</f>
        <v>Réalisation de consultations avancées</v>
      </c>
    </row>
    <row r="156" spans="1:14" ht="60">
      <c r="B156" s="196">
        <v>205</v>
      </c>
      <c r="C156" s="478" t="str">
        <f>VLOOKUP(Tableau2[[#This Row],[Colonne1]],Tableau124[#All],2,FALSE)</f>
        <v>Territoire de Belfort (90)</v>
      </c>
      <c r="D156" s="111" t="str">
        <f>VLOOKUP(Tableau2[[#This Row],[Colonne1]],Tableau124[#All],3,FALSE)</f>
        <v>Trévenans</v>
      </c>
      <c r="E156" s="111">
        <f>VLOOKUP(Tableau2[[#This Row],[Colonne1]],Tableau124[#All],4,FALSE)</f>
        <v>90400</v>
      </c>
      <c r="F156" s="111" t="str">
        <f>VLOOKUP(Tableau2[[#This Row],[Colonne1]],Tableau124[#All],5,FALSE)</f>
        <v>100 Rte de Moval</v>
      </c>
      <c r="G156" s="111" t="str">
        <f>VLOOKUP(Tableau2[[#This Row],[Colonne1]],Tableau124[#All],6,FALSE)</f>
        <v>Consultations Hospitalières externes d'addictologie (autre lieu d'intervention)</v>
      </c>
      <c r="H156" s="111" t="str">
        <f>VLOOKUP(Tableau2[[#This Row],[Colonne1]],Tableau124[#All],7,FALSE)</f>
        <v>HNFC consultations Tech'nom (Hôpital Nord Franche-Comté)</v>
      </c>
      <c r="I156" s="111" t="str">
        <f>VLOOKUP(Tableau2[[#This Row],[Colonne1]],Tableau124[#All],8,FALSE)</f>
        <v>Public</v>
      </c>
      <c r="J156" s="311" t="str">
        <f>VLOOKUP(Tableau2[[#This Row],[Colonne1]],Tableau124[#All],9,FALSE)</f>
        <v>ds.secretariat@hnfc.fr</v>
      </c>
      <c r="K156" s="239" t="str">
        <f>VLOOKUP(Tableau2[[#This Row],[Colonne1]],Tableau124[#All],10,FALSE)</f>
        <v>03 84 98 20 20</v>
      </c>
      <c r="L156" s="495" t="str">
        <f>VLOOKUP(Tableau2[[#This Row],[Colonne1]],Tableau124[#All],11,FALSE)</f>
        <v>www.hnfc.fr</v>
      </c>
      <c r="M156" s="129" t="str">
        <f>VLOOKUP(Tableau2[[#This Row],[Colonne1]],Tableau124[#All],12,FALSE)</f>
        <v>lundi 8H30 à 12H au Tech'nom
vendredi 13H30 à 18H sur le site de Trévenans</v>
      </c>
      <c r="N156" s="486" t="str">
        <f>VLOOKUP(Tableau2[[#This Row],[Colonne1]],Tableau124[#All],13,FALSE)</f>
        <v>Intervention auprès de public majeurs ainsi qu'à l'Hôpital Nord Franche-Comté</v>
      </c>
    </row>
    <row r="157" spans="1:14" ht="45">
      <c r="B157" s="196">
        <v>84</v>
      </c>
      <c r="C157" s="156" t="str">
        <f>VLOOKUP(Tableau2[[#This Row],[Colonne1]],Tableau124[#All],2,FALSE)</f>
        <v>Doubs (25)</v>
      </c>
      <c r="D157" s="156" t="str">
        <f>VLOOKUP(Tableau2[[#This Row],[Colonne1]],Tableau124[#All],3,FALSE)</f>
        <v>Valdahon</v>
      </c>
      <c r="E157" s="156">
        <f>VLOOKUP(Tableau2[[#This Row],[Colonne1]],Tableau124[#All],4,FALSE)</f>
        <v>25800</v>
      </c>
      <c r="F157" s="156" t="str">
        <f>VLOOKUP(Tableau2[[#This Row],[Colonne1]],Tableau124[#All],5,FALSE)</f>
        <v>Maison des Services 5 place de Gén de Gaulle</v>
      </c>
      <c r="G157" s="156" t="str">
        <f>VLOOKUP(Tableau2[[#This Row],[Colonne1]],Tableau124[#All],6,FALSE)</f>
        <v>CSAPA (consultations avancées)</v>
      </c>
      <c r="H157" s="156" t="str">
        <f>VLOOKUP(Tableau2[[#This Row],[Colonne1]],Tableau124[#All],7,FALSE)</f>
        <v>CSAPA SOLEA - ADDSEA Bourgogne Franche Comté - consultations avancées</v>
      </c>
      <c r="I157" s="156" t="str">
        <f>VLOOKUP(Tableau2[[#This Row],[Colonne1]],Tableau124[#All],8,FALSE)</f>
        <v>Associatif</v>
      </c>
      <c r="J157" s="496" t="str">
        <f>VLOOKUP(Tableau2[[#This Row],[Colonne1]],Tableau124[#All],9,FALSE)</f>
        <v>solea@addsea.fr</v>
      </c>
      <c r="K157" s="482">
        <f>VLOOKUP(Tableau2[[#This Row],[Colonne1]],Tableau124[#All],10,FALSE)</f>
        <v>381830332</v>
      </c>
      <c r="L157" s="502" t="str">
        <f>VLOOKUP(Tableau2[[#This Row],[Colonne1]],Tableau124[#All],11,FALSE)</f>
        <v xml:space="preserve"> </v>
      </c>
      <c r="M157" s="199" t="str">
        <f>VLOOKUP(Tableau2[[#This Row],[Colonne1]],Tableau124[#All],12,FALSE)</f>
        <v>semaine impaire de 9h à 17h</v>
      </c>
      <c r="N157" s="487" t="str">
        <f>VLOOKUP(Tableau2[[#This Row],[Colonne1]],Tableau124[#All],13,FALSE)</f>
        <v>Réalisation de consultations avancées</v>
      </c>
    </row>
    <row r="158" spans="1:14" ht="150">
      <c r="B158" s="196">
        <v>106</v>
      </c>
      <c r="C158" s="156" t="str">
        <f>VLOOKUP(Tableau2[[#This Row],[Colonne1]],Tableau124[#All],2,FALSE)</f>
        <v>Haute-Saône (70)</v>
      </c>
      <c r="D158" s="156" t="str">
        <f>VLOOKUP(Tableau2[[#This Row],[Colonne1]],Tableau124[#All],3,FALSE)</f>
        <v>Vesoul</v>
      </c>
      <c r="E158" s="156" t="str">
        <f>VLOOKUP(Tableau2[[#This Row],[Colonne1]],Tableau124[#All],4,FALSE)</f>
        <v>70000</v>
      </c>
      <c r="F158" s="156" t="str">
        <f>VLOOKUP(Tableau2[[#This Row],[Colonne1]],Tableau124[#All],5,FALSE)</f>
        <v>27 Av. Aristide Briand</v>
      </c>
      <c r="G158" s="156" t="str">
        <f>VLOOKUP(Tableau2[[#This Row],[Colonne1]],Tableau124[#All],6,FALSE)</f>
        <v>CSAPA</v>
      </c>
      <c r="H158" s="156" t="str">
        <f>VLOOKUP(Tableau2[[#This Row],[Colonne1]],Tableau124[#All],7,FALSE)</f>
        <v>Association Addictions France en Haute-Saône</v>
      </c>
      <c r="I158" s="156" t="str">
        <f>VLOOKUP(Tableau2[[#This Row],[Colonne1]],Tableau124[#All],8,FALSE)</f>
        <v>Associatif</v>
      </c>
      <c r="J158" s="496" t="str">
        <f>VLOOKUP(Tableau2[[#This Row],[Colonne1]],Tableau124[#All],9,FALSE)</f>
        <v>csapa.vesoul@addictions-france.org</v>
      </c>
      <c r="K158" s="482" t="str">
        <f>VLOOKUP(Tableau2[[#This Row],[Colonne1]],Tableau124[#All],10,FALSE)</f>
        <v>03-84-76-75-75</v>
      </c>
      <c r="L158" s="318" t="str">
        <f>VLOOKUP(Tableau2[[#This Row],[Colonne1]],Tableau124[#All],11,FALSE)</f>
        <v>https://addictions-france.org</v>
      </c>
      <c r="M158" s="199" t="str">
        <f>VLOOKUP(Tableau2[[#This Row],[Colonne1]],Tableau124[#All],12,FALSE)</f>
        <v>Mercredi 9h à 12h30 et 13h30 à 16h 30</v>
      </c>
      <c r="N158" s="492" t="str">
        <f>VLOOKUP(Tableau2[[#This Row],[Colonne1]],Tableau124[#All],13,FALSE)</f>
        <v>- Réalisation de consultations avancées sur Vesoul, Fontaine-les-Dijon, Avallon, Vesoul, Lure,  Vesoul, Gray, Luxeuil-les-Bains, Noidans-Le-Ferroux, CPP Gray, Vesoul, Jussey, Rioz ;
- intervention en milieu pénitentiaire à la maison d'arrêt de Vesoul
- mise à disposition de matériel de consommation à moindre risque ;
- dispositifs anti-overdose à disposition ; 
- présence d'une CJC.</v>
      </c>
    </row>
    <row r="159" spans="1:14" ht="45">
      <c r="B159" s="196">
        <v>107</v>
      </c>
      <c r="C159" s="156" t="str">
        <f>VLOOKUP(Tableau2[[#This Row],[Colonne1]],Tableau124[#All],2,FALSE)</f>
        <v>Haute-Saône (70)</v>
      </c>
      <c r="D159" s="156" t="str">
        <f>VLOOKUP(Tableau2[[#This Row],[Colonne1]],Tableau124[#All],3,FALSE)</f>
        <v>Vesoul</v>
      </c>
      <c r="E159" s="156">
        <f>VLOOKUP(Tableau2[[#This Row],[Colonne1]],Tableau124[#All],4,FALSE)</f>
        <v>70000</v>
      </c>
      <c r="F159" s="156" t="str">
        <f>VLOOKUP(Tableau2[[#This Row],[Colonne1]],Tableau124[#All],5,FALSE)</f>
        <v>MDA de Vesoul - 19, rue de la Banque</v>
      </c>
      <c r="G159" s="156" t="str">
        <f>VLOOKUP(Tableau2[[#This Row],[Colonne1]],Tableau124[#All],6,FALSE)</f>
        <v>CSAPA (consultations avancées)</v>
      </c>
      <c r="H159" s="156" t="str">
        <f>VLOOKUP(Tableau2[[#This Row],[Colonne1]],Tableau124[#All],7,FALSE)</f>
        <v>Association Addictions France en Haute-Saône - consultations avancées</v>
      </c>
      <c r="I159" s="156" t="str">
        <f>VLOOKUP(Tableau2[[#This Row],[Colonne1]],Tableau124[#All],8,FALSE)</f>
        <v>Associatif</v>
      </c>
      <c r="J159" s="496" t="str">
        <f>VLOOKUP(Tableau2[[#This Row],[Colonne1]],Tableau124[#All],9,FALSE)</f>
        <v>bfc70@addictions-france.org</v>
      </c>
      <c r="K159" s="482" t="str">
        <f>VLOOKUP(Tableau2[[#This Row],[Colonne1]],Tableau124[#All],10,FALSE)</f>
        <v>03-84-76-75-78</v>
      </c>
      <c r="L159" s="496" t="str">
        <f>VLOOKUP(Tableau2[[#This Row],[Colonne1]],Tableau124[#All],11,FALSE)</f>
        <v>https://addictions-france.org</v>
      </c>
      <c r="M159" s="199" t="str">
        <f>VLOOKUP(Tableau2[[#This Row],[Colonne1]],Tableau124[#All],12,FALSE)</f>
        <v>Jeudi 12h30 -16h</v>
      </c>
      <c r="N159" s="487" t="str">
        <f>VLOOKUP(Tableau2[[#This Row],[Colonne1]],Tableau124[#All],13,FALSE)</f>
        <v>Réalisation de consultations avancées</v>
      </c>
    </row>
    <row r="160" spans="1:14" ht="45">
      <c r="B160" s="196">
        <v>108</v>
      </c>
      <c r="C160" s="156" t="str">
        <f>VLOOKUP(Tableau2[[#This Row],[Colonne1]],Tableau124[#All],2,FALSE)</f>
        <v>Haute-Saône (70)</v>
      </c>
      <c r="D160" s="156" t="str">
        <f>VLOOKUP(Tableau2[[#This Row],[Colonne1]],Tableau124[#All],3,FALSE)</f>
        <v>Vesoul</v>
      </c>
      <c r="E160" s="156">
        <f>VLOOKUP(Tableau2[[#This Row],[Colonne1]],Tableau124[#All],4,FALSE)</f>
        <v>70000</v>
      </c>
      <c r="F160" s="156" t="str">
        <f>VLOOKUP(Tableau2[[#This Row],[Colonne1]],Tableau124[#All],5,FALSE)</f>
        <v>AHSRA - 2, rue René Hologne</v>
      </c>
      <c r="G160" s="156" t="str">
        <f>VLOOKUP(Tableau2[[#This Row],[Colonne1]],Tableau124[#All],6,FALSE)</f>
        <v>CSAPA (consultations avancées)</v>
      </c>
      <c r="H160" s="156" t="str">
        <f>VLOOKUP(Tableau2[[#This Row],[Colonne1]],Tableau124[#All],7,FALSE)</f>
        <v>Association Addictions France en Haute-Saône - consultations avancées</v>
      </c>
      <c r="I160" s="156" t="str">
        <f>VLOOKUP(Tableau2[[#This Row],[Colonne1]],Tableau124[#All],8,FALSE)</f>
        <v>Associatif</v>
      </c>
      <c r="J160" s="496" t="str">
        <f>VLOOKUP(Tableau2[[#This Row],[Colonne1]],Tableau124[#All],9,FALSE)</f>
        <v>csapa.vesoul@addictions-france.org</v>
      </c>
      <c r="K160" s="482" t="str">
        <f>VLOOKUP(Tableau2[[#This Row],[Colonne1]],Tableau124[#All],10,FALSE)</f>
        <v>03-84-76-75-75</v>
      </c>
      <c r="L160" s="496" t="str">
        <f>VLOOKUP(Tableau2[[#This Row],[Colonne1]],Tableau124[#All],11,FALSE)</f>
        <v>https://addictions-france.org</v>
      </c>
      <c r="M160" s="199" t="str">
        <f>VLOOKUP(Tableau2[[#This Row],[Colonne1]],Tableau124[#All],12,FALSE)</f>
        <v xml:space="preserve"> Jeudi 9h-12h (semaines impaires) </v>
      </c>
      <c r="N160" s="487" t="str">
        <f>VLOOKUP(Tableau2[[#This Row],[Colonne1]],Tableau124[#All],13,FALSE)</f>
        <v>Réalisation de consultations avancées
Consultations avancées en CHRS</v>
      </c>
    </row>
    <row r="161" spans="2:14" ht="45">
      <c r="B161" s="196">
        <v>109</v>
      </c>
      <c r="C161" s="156" t="str">
        <f>VLOOKUP(Tableau2[[#This Row],[Colonne1]],Tableau124[#All],2,FALSE)</f>
        <v>Haute-Saône (70)</v>
      </c>
      <c r="D161" s="156" t="str">
        <f>VLOOKUP(Tableau2[[#This Row],[Colonne1]],Tableau124[#All],3,FALSE)</f>
        <v>Vesoul</v>
      </c>
      <c r="E161" s="156">
        <f>VLOOKUP(Tableau2[[#This Row],[Colonne1]],Tableau124[#All],4,FALSE)</f>
        <v>70000</v>
      </c>
      <c r="F161" s="156" t="str">
        <f>VLOOKUP(Tableau2[[#This Row],[Colonne1]],Tableau124[#All],5,FALSE)</f>
        <v>Maison d'Arrêt - Place Beauchamp</v>
      </c>
      <c r="G161" s="156" t="str">
        <f>VLOOKUP(Tableau2[[#This Row],[Colonne1]],Tableau124[#All],6,FALSE)</f>
        <v>CSAPA (consultations avancées)</v>
      </c>
      <c r="H161" s="156" t="str">
        <f>VLOOKUP(Tableau2[[#This Row],[Colonne1]],Tableau124[#All],7,FALSE)</f>
        <v>Association Addictions France en Haute-Saône - consultations avancées</v>
      </c>
      <c r="I161" s="156" t="str">
        <f>VLOOKUP(Tableau2[[#This Row],[Colonne1]],Tableau124[#All],8,FALSE)</f>
        <v>Associatif</v>
      </c>
      <c r="J161" s="322" t="str">
        <f>VLOOKUP(Tableau2[[#This Row],[Colonne1]],Tableau124[#All],9,FALSE)</f>
        <v>csapa.vesoul@addictions-france.org</v>
      </c>
      <c r="K161" s="243" t="str">
        <f>VLOOKUP(Tableau2[[#This Row],[Colonne1]],Tableau124[#All],10,FALSE)</f>
        <v xml:space="preserve"> 03-84-76-75-75</v>
      </c>
      <c r="L161" s="496" t="str">
        <f>VLOOKUP(Tableau2[[#This Row],[Colonne1]],Tableau124[#All],11,FALSE)</f>
        <v>https://addictions-france.org</v>
      </c>
      <c r="M161" s="156" t="str">
        <f>VLOOKUP(Tableau2[[#This Row],[Colonne1]],Tableau124[#All],12,FALSE)</f>
        <v>Jeudi 13h30-16h30</v>
      </c>
      <c r="N161" s="480" t="str">
        <f>VLOOKUP(Tableau2[[#This Row],[Colonne1]],Tableau124[#All],13,FALSE)</f>
        <v>Réalisation de consultations avancées</v>
      </c>
    </row>
    <row r="162" spans="2:14" ht="90">
      <c r="B162" s="196">
        <v>103</v>
      </c>
      <c r="C162" s="505" t="str">
        <f>VLOOKUP(Tableau2[[#This Row],[Colonne1]],Tableau124[#All],2,FALSE)</f>
        <v>Haute-Saône (70)</v>
      </c>
      <c r="D162" s="203" t="str">
        <f>VLOOKUP(Tableau2[[#This Row],[Colonne1]],Tableau124[#All],3,FALSE)</f>
        <v>Vesoul</v>
      </c>
      <c r="E162" s="203" t="str">
        <f>VLOOKUP(Tableau2[[#This Row],[Colonne1]],Tableau124[#All],4,FALSE)</f>
        <v>70000</v>
      </c>
      <c r="F162" s="203" t="str">
        <f>VLOOKUP(Tableau2[[#This Row],[Colonne1]],Tableau124[#All],5,FALSE)</f>
        <v>27 Av. Aristide Briand</v>
      </c>
      <c r="G162" s="203" t="str">
        <f>VLOOKUP(Tableau2[[#This Row],[Colonne1]],Tableau124[#All],6,FALSE)</f>
        <v>CAARUD</v>
      </c>
      <c r="H162" s="203" t="str">
        <f>VLOOKUP(Tableau2[[#This Row],[Colonne1]],Tableau124[#All],7,FALSE)</f>
        <v>Association Addictions France en Haute-Saône</v>
      </c>
      <c r="I162" s="203" t="str">
        <f>VLOOKUP(Tableau2[[#This Row],[Colonne1]],Tableau124[#All],8,FALSE)</f>
        <v>Associatif</v>
      </c>
      <c r="J162" s="359" t="str">
        <f>VLOOKUP(Tableau2[[#This Row],[Colonne1]],Tableau124[#All],9,FALSE)</f>
        <v>caarud.vesoul@addictions-france.org</v>
      </c>
      <c r="K162" s="240">
        <f>VLOOKUP(Tableau2[[#This Row],[Colonne1]],Tableau124[#All],10,FALSE)</f>
        <v>384767575</v>
      </c>
      <c r="L162" s="497" t="str">
        <f>VLOOKUP(Tableau2[[#This Row],[Colonne1]],Tableau124[#All],11,FALSE)</f>
        <v>https://addictions-france.org</v>
      </c>
      <c r="M162" s="204" t="str">
        <f>VLOOKUP(Tableau2[[#This Row],[Colonne1]],Tableau124[#All],12,FALSE)</f>
        <v>Lundi : 14h-16h30
Mardi, mercredi et jeudi : 9h-12h
Vendredi : 9h-12h/14h-16h</v>
      </c>
      <c r="N162" s="651" t="str">
        <f>VLOOKUP(Tableau2[[#This Row],[Colonne1]],Tableau124[#All],13,FALSE)</f>
        <v>Unité mobile pouvant servir de lieu d'accueil (déplacement possible sur l’ensemble du territoire Haut-Saônois) ; 
Programme d'échange de seringues ;
Intervention en maraude ; 
Intervention en milieu festif.</v>
      </c>
    </row>
    <row r="163" spans="2:14" ht="105">
      <c r="B163" s="196">
        <v>104</v>
      </c>
      <c r="C163" s="507" t="str">
        <f>VLOOKUP(Tableau2[[#This Row],[Colonne1]],Tableau124[#All],2,FALSE)</f>
        <v>Haute-Saône (70)</v>
      </c>
      <c r="D163" s="508" t="str">
        <f>VLOOKUP(Tableau2[[#This Row],[Colonne1]],Tableau124[#All],3,FALSE)</f>
        <v>Vesoul</v>
      </c>
      <c r="E163" s="508" t="str">
        <f>VLOOKUP(Tableau2[[#This Row],[Colonne1]],Tableau124[#All],4,FALSE)</f>
        <v>70000</v>
      </c>
      <c r="F163" s="508" t="str">
        <f>VLOOKUP(Tableau2[[#This Row],[Colonne1]],Tableau124[#All],5,FALSE)</f>
        <v>27 Av. Aristide Briand</v>
      </c>
      <c r="G163" s="508" t="str">
        <f>VLOOKUP(Tableau2[[#This Row],[Colonne1]],Tableau124[#All],6,FALSE)</f>
        <v>CJC</v>
      </c>
      <c r="H163" s="508" t="str">
        <f>VLOOKUP(Tableau2[[#This Row],[Colonne1]],Tableau124[#All],7,FALSE)</f>
        <v>Association Addictions France en Haute-Saône</v>
      </c>
      <c r="I163" s="508" t="str">
        <f>VLOOKUP(Tableau2[[#This Row],[Colonne1]],Tableau124[#All],8,FALSE)</f>
        <v>Associatif</v>
      </c>
      <c r="J163" s="517" t="str">
        <f>VLOOKUP(Tableau2[[#This Row],[Colonne1]],Tableau124[#All],9,FALSE)</f>
        <v>csapa.vesoul@addictions-france.org</v>
      </c>
      <c r="K163" s="518" t="str">
        <f>VLOOKUP(Tableau2[[#This Row],[Colonne1]],Tableau124[#All],10,FALSE)</f>
        <v>03-84-76-75-75</v>
      </c>
      <c r="L163" s="522" t="str">
        <f>VLOOKUP(Tableau2[[#This Row],[Colonne1]],Tableau124[#All],11,FALSE)</f>
        <v>https://addictions-france.org</v>
      </c>
      <c r="M163" s="519" t="str">
        <f>VLOOKUP(Tableau2[[#This Row],[Colonne1]],Tableau124[#All],12,FALSE)</f>
        <v xml:space="preserve">Lundi, jeudi et vendredi : 8h30-12h30 / 13h-17h
Mardi : 8h30-12h30 / 13h-19h (fermeture de 14h à 16h les 2èmes mardis du mois)
Mercredi 13h-16h30 (semaines impaires) </v>
      </c>
      <c r="N163" s="516" t="str">
        <f>VLOOKUP(Tableau2[[#This Row],[Colonne1]],Tableau124[#All],13,FALSE)</f>
        <v>- Accueil des familles ; 
- Orientation sur rendez-vous ;
- CJC accessible à la famille et l'entourage ; 
- locaux identiques à ceux du CSAPA. 
Accessible à la famille et l'entourage</v>
      </c>
    </row>
    <row r="164" spans="2:14" ht="75">
      <c r="B164" s="196">
        <v>105</v>
      </c>
      <c r="C164" s="478" t="str">
        <f>VLOOKUP(Tableau2[[#This Row],[Colonne1]],Tableau124[#All],2,FALSE)</f>
        <v>Haute-Saône (70)</v>
      </c>
      <c r="D164" s="111" t="str">
        <f>VLOOKUP(Tableau2[[#This Row],[Colonne1]],Tableau124[#All],3,FALSE)</f>
        <v>Vesoul</v>
      </c>
      <c r="E164" s="111">
        <f>VLOOKUP(Tableau2[[#This Row],[Colonne1]],Tableau124[#All],4,FALSE)</f>
        <v>70000</v>
      </c>
      <c r="F164" s="111" t="str">
        <f>VLOOKUP(Tableau2[[#This Row],[Colonne1]],Tableau124[#All],5,FALSE)</f>
        <v>2 Rue René Heymes</v>
      </c>
      <c r="G164" s="111" t="str">
        <f>VLOOKUP(Tableau2[[#This Row],[Colonne1]],Tableau124[#All],6,FALSE)</f>
        <v>Consultations Hospitalières externes d'addictologie (autre lieu d'intervention)</v>
      </c>
      <c r="H164" s="111" t="str">
        <f>VLOOKUP(Tableau2[[#This Row],[Colonne1]],Tableau124[#All],7,FALSE)</f>
        <v>Consultation d'addictologie et de tabacologie (Groupe Hospitalier de la Haute-Saône (GH70))</v>
      </c>
      <c r="I164" s="111" t="str">
        <f>VLOOKUP(Tableau2[[#This Row],[Colonne1]],Tableau124[#All],8,FALSE)</f>
        <v>Public</v>
      </c>
      <c r="J164" s="311" t="str">
        <f>VLOOKUP(Tableau2[[#This Row],[Colonne1]],Tableau124[#All],9,FALSE)</f>
        <v>contact@gh70.fr</v>
      </c>
      <c r="K164" s="239" t="str">
        <f>VLOOKUP(Tableau2[[#This Row],[Colonne1]],Tableau124[#All],10,FALSE)</f>
        <v>03 84 62 43 82</v>
      </c>
      <c r="L164" s="495" t="str">
        <f>VLOOKUP(Tableau2[[#This Row],[Colonne1]],Tableau124[#All],11,FALSE)</f>
        <v>https://www.gh70.fr</v>
      </c>
      <c r="M164" s="129" t="str">
        <f>VLOOKUP(Tableau2[[#This Row],[Colonne1]],Tableau124[#All],12,FALSE)</f>
        <v>9h - 17h du lundi au vendredi</v>
      </c>
      <c r="N164" s="486" t="str">
        <f>VLOOKUP(Tableau2[[#This Row],[Colonne1]],Tableau124[#All],13,FALSE)</f>
        <v>Intervention auprès de public majeurs et mineurs ainsi qu'au Groupe Hospitalier de la Haute-Saône (GH70)</v>
      </c>
    </row>
    <row r="165" spans="2:14" ht="45">
      <c r="B165" s="196">
        <v>114</v>
      </c>
      <c r="C165" s="507" t="str">
        <f>VLOOKUP(Tableau2[[#This Row],[Colonne1]],Tableau124[#All],2,FALSE)</f>
        <v>Haute-Saône (70)</v>
      </c>
      <c r="D165" s="523" t="str">
        <f>VLOOKUP(Tableau2[[#This Row],[Colonne1]],Tableau124[#All],3,FALSE)</f>
        <v>Vesoul</v>
      </c>
      <c r="E165" s="523">
        <f>VLOOKUP(Tableau2[[#This Row],[Colonne1]],Tableau124[#All],4,FALSE)</f>
        <v>70000</v>
      </c>
      <c r="F165" s="523" t="str">
        <f>VLOOKUP(Tableau2[[#This Row],[Colonne1]],Tableau124[#All],5,FALSE)</f>
        <v>MDA Vesoul : 19 rue de la Banque 4ème étage</v>
      </c>
      <c r="G165" s="523" t="str">
        <f>VLOOKUP(Tableau2[[#This Row],[Colonne1]],Tableau124[#All],6,FALSE)</f>
        <v>CJC</v>
      </c>
      <c r="H165" s="523" t="str">
        <f>VLOOKUP(Tableau2[[#This Row],[Colonne1]],Tableau124[#All],7,FALSE)</f>
        <v>CSAPA Vesoul</v>
      </c>
      <c r="I165" s="523" t="str">
        <f>VLOOKUP(Tableau2[[#This Row],[Colonne1]],Tableau124[#All],8,FALSE)</f>
        <v>Associatif</v>
      </c>
      <c r="J165" s="641" t="str">
        <f>VLOOKUP(Tableau2[[#This Row],[Colonne1]],Tableau124[#All],9,FALSE)</f>
        <v>csapa.vesoul@addictions-france.org</v>
      </c>
      <c r="K165" s="509" t="str">
        <f>VLOOKUP(Tableau2[[#This Row],[Colonne1]],Tableau124[#All],10,FALSE)</f>
        <v>03-84-76-75-75</v>
      </c>
      <c r="L165" s="648" t="str">
        <f>VLOOKUP(Tableau2[[#This Row],[Colonne1]],Tableau124[#All],11,FALSE)</f>
        <v>https://addictions-france.org</v>
      </c>
      <c r="M165" s="642"/>
      <c r="N165" s="661" t="str">
        <f>VLOOKUP(Tableau2[[#This Row],[Colonne1]],Tableau124[#All],13,FALSE)</f>
        <v>CJC avancées ; Orientation sur rendez-vous ; accessible à la famille et l'entourage</v>
      </c>
    </row>
    <row r="166" spans="2:14" ht="30">
      <c r="B166" s="196">
        <v>115</v>
      </c>
      <c r="C166" s="156" t="str">
        <f>VLOOKUP(Tableau2[[#This Row],[Colonne1]],Tableau124[#All],2,FALSE)</f>
        <v>Haute-Saône (70)</v>
      </c>
      <c r="D166" s="101" t="str">
        <f>VLOOKUP(Tableau2[[#This Row],[Colonne1]],Tableau124[#All],3,FALSE)</f>
        <v xml:space="preserve">Vesoul </v>
      </c>
      <c r="E166" s="101">
        <f>VLOOKUP(Tableau2[[#This Row],[Colonne1]],Tableau124[#All],4,FALSE)</f>
        <v>70000</v>
      </c>
      <c r="F166" s="101" t="str">
        <f>VLOOKUP(Tableau2[[#This Row],[Colonne1]],Tableau124[#All],5,FALSE)</f>
        <v>SAFED – 100 rue Baron Bouvier</v>
      </c>
      <c r="G166" s="156" t="str">
        <f>VLOOKUP(Tableau2[[#This Row],[Colonne1]],Tableau124[#All],6,FALSE)</f>
        <v>CSAPA (consultations avancées)</v>
      </c>
      <c r="H166" s="156" t="str">
        <f>VLOOKUP(Tableau2[[#This Row],[Colonne1]],Tableau124[#All],7,FALSE)</f>
        <v>Association Addictions France en Haute-Saône</v>
      </c>
      <c r="I166" s="101" t="str">
        <f>VLOOKUP(Tableau2[[#This Row],[Colonne1]],Tableau124[#All],8,FALSE)</f>
        <v>Associatif</v>
      </c>
      <c r="J166" s="500" t="str">
        <f>VLOOKUP(Tableau2[[#This Row],[Colonne1]],Tableau124[#All],9,FALSE)</f>
        <v xml:space="preserve"> csapa.vesoul@addictions-france.org</v>
      </c>
      <c r="K166" s="482" t="str">
        <f>VLOOKUP(Tableau2[[#This Row],[Colonne1]],Tableau124[#All],10,FALSE)</f>
        <v>03-84-76-75-75</v>
      </c>
      <c r="L166" s="496" t="str">
        <f>VLOOKUP(Tableau2[[#This Row],[Colonne1]],Tableau124[#All],11,FALSE)</f>
        <v>https://addictions-france.org</v>
      </c>
      <c r="M166" s="199" t="str">
        <f>VLOOKUP(Tableau2[[#This Row],[Colonne1]],Tableau124[#All],12,FALSE)</f>
        <v xml:space="preserve"> Vendredi 14h-16h (semaines paires) </v>
      </c>
      <c r="N166" s="487" t="str">
        <f>VLOOKUP(Tableau2[[#This Row],[Colonne1]],Tableau124[#All],13,FALSE)</f>
        <v>Consultations avancées en CHRS</v>
      </c>
    </row>
  </sheetData>
  <mergeCells count="1">
    <mergeCell ref="C3:N3"/>
  </mergeCells>
  <phoneticPr fontId="8" type="noConversion"/>
  <hyperlinks>
    <hyperlink ref="J172" r:id="rId1" display="mailto:contact@ch-sens.fr"/>
    <hyperlink ref="L190" r:id="rId2" display="https://www.gh70.fr/"/>
    <hyperlink ref="J169" r:id="rId3" display="mailto:secretariat.psychiatrie@ch-semur.fr"/>
    <hyperlink ref="L169" r:id="rId4" display="http://www.ch-semur.fr/"/>
    <hyperlink ref="J177" r:id="rId5" display="mailto:chs@ch-sevrey.fr"/>
    <hyperlink ref="J175" r:id="rId6" display="mailto:contact@ch-sens.fr"/>
    <hyperlink ref="J179" r:id="rId7" display="mailto:chs@ch-sevrey.fr"/>
    <hyperlink ref="J176" r:id="rId8" display="mailto:contact@ch-sens.fr"/>
  </hyperlinks>
  <pageMargins left="0.7" right="0.7" top="0.75" bottom="0.75" header="0.3" footer="0.3"/>
  <pageSetup paperSize="9" orientation="portrait" r:id="rId9"/>
  <drawing r:id="rId10"/>
  <tableParts count="1">
    <tablePart r:id="rId1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9" tint="-0.499984740745262"/>
  </sheetPr>
  <dimension ref="A1:O244"/>
  <sheetViews>
    <sheetView zoomScale="70" zoomScaleNormal="70" workbookViewId="0"/>
  </sheetViews>
  <sheetFormatPr baseColWidth="10" defaultColWidth="10.5703125" defaultRowHeight="15"/>
  <cols>
    <col min="1" max="1" width="16.5703125" style="8" customWidth="1"/>
    <col min="2" max="2" width="9.85546875" style="162" customWidth="1"/>
    <col min="3" max="3" width="28.42578125" style="207" customWidth="1"/>
    <col min="4" max="4" width="22.42578125" style="207" customWidth="1"/>
    <col min="5" max="5" width="14" style="207" customWidth="1"/>
    <col min="6" max="6" width="27.5703125" style="207" customWidth="1"/>
    <col min="7" max="7" width="38.5703125" style="208" bestFit="1" customWidth="1"/>
    <col min="8" max="8" width="57.140625" style="207" bestFit="1" customWidth="1"/>
    <col min="9" max="9" width="25.85546875" style="208" bestFit="1" customWidth="1"/>
    <col min="10" max="10" width="26.85546875" style="1" bestFit="1" customWidth="1"/>
    <col min="11" max="11" width="33.140625" style="208" bestFit="1" customWidth="1"/>
    <col min="12" max="12" width="28.5703125" style="1" bestFit="1" customWidth="1"/>
    <col min="13" max="13" width="58.5703125" style="272" customWidth="1"/>
    <col min="14" max="14" width="130.28515625" style="272" customWidth="1"/>
    <col min="15" max="15" width="10.5703125" style="1" customWidth="1"/>
    <col min="16" max="16384" width="10.5703125" style="1"/>
  </cols>
  <sheetData>
    <row r="1" spans="1:15" ht="57.75" customHeight="1">
      <c r="B1" s="163"/>
      <c r="C1" s="205"/>
      <c r="D1" s="205"/>
      <c r="E1" s="205"/>
      <c r="F1" s="205"/>
      <c r="G1" s="206"/>
      <c r="H1" s="205"/>
      <c r="I1" s="206"/>
      <c r="J1" s="8"/>
      <c r="K1" s="528"/>
      <c r="L1" s="67" t="s">
        <v>15</v>
      </c>
      <c r="M1" s="271"/>
    </row>
    <row r="2" spans="1:15" ht="11.1" customHeight="1"/>
    <row r="3" spans="1:15" ht="20.100000000000001" customHeight="1">
      <c r="C3" s="708" t="s">
        <v>16</v>
      </c>
      <c r="D3" s="708"/>
      <c r="E3" s="708"/>
      <c r="F3" s="708"/>
      <c r="G3" s="708"/>
      <c r="H3" s="708"/>
      <c r="I3" s="708"/>
      <c r="J3" s="708"/>
      <c r="K3" s="708"/>
      <c r="L3" s="708"/>
      <c r="M3" s="708"/>
      <c r="N3" s="708"/>
    </row>
    <row r="5" spans="1:15" ht="45">
      <c r="A5" s="9"/>
      <c r="B5" s="683" t="s">
        <v>1085</v>
      </c>
      <c r="C5" s="209" t="s">
        <v>17</v>
      </c>
      <c r="D5" s="209" t="s">
        <v>18</v>
      </c>
      <c r="E5" s="209" t="s">
        <v>19</v>
      </c>
      <c r="F5" s="209" t="s">
        <v>20</v>
      </c>
      <c r="G5" s="209" t="s">
        <v>21</v>
      </c>
      <c r="H5" s="209" t="s">
        <v>22</v>
      </c>
      <c r="I5" s="209" t="s">
        <v>23</v>
      </c>
      <c r="J5" s="60" t="s">
        <v>24</v>
      </c>
      <c r="K5" s="209" t="s">
        <v>25</v>
      </c>
      <c r="L5" s="60" t="s">
        <v>26</v>
      </c>
      <c r="M5" s="209" t="s">
        <v>27</v>
      </c>
      <c r="N5" s="209" t="s">
        <v>28</v>
      </c>
      <c r="O5" s="23" t="s">
        <v>1079</v>
      </c>
    </row>
    <row r="6" spans="1:15" ht="75">
      <c r="B6" s="188">
        <v>177</v>
      </c>
      <c r="C6" s="225" t="s">
        <v>29</v>
      </c>
      <c r="D6" s="156" t="s">
        <v>199</v>
      </c>
      <c r="E6" s="156" t="s">
        <v>200</v>
      </c>
      <c r="F6" s="156" t="s">
        <v>201</v>
      </c>
      <c r="G6" s="156" t="s">
        <v>410</v>
      </c>
      <c r="H6" s="156" t="s">
        <v>33</v>
      </c>
      <c r="I6" s="156" t="s">
        <v>34</v>
      </c>
      <c r="J6" s="86" t="s">
        <v>1174</v>
      </c>
      <c r="K6" s="238" t="s">
        <v>203</v>
      </c>
      <c r="L6" s="318" t="s">
        <v>166</v>
      </c>
      <c r="M6" s="101" t="s">
        <v>1175</v>
      </c>
      <c r="N6" s="581" t="s">
        <v>411</v>
      </c>
      <c r="O6" s="174" t="e">
        <v>#N/A</v>
      </c>
    </row>
    <row r="7" spans="1:15" ht="30">
      <c r="B7" s="164">
        <v>170</v>
      </c>
      <c r="C7" s="225" t="s">
        <v>29</v>
      </c>
      <c r="D7" s="156" t="s">
        <v>37</v>
      </c>
      <c r="E7" s="156">
        <v>71200</v>
      </c>
      <c r="F7" s="156" t="s">
        <v>38</v>
      </c>
      <c r="G7" s="156" t="s">
        <v>32</v>
      </c>
      <c r="H7" s="156" t="s">
        <v>33</v>
      </c>
      <c r="I7" s="156" t="s">
        <v>34</v>
      </c>
      <c r="J7" s="318" t="s">
        <v>39</v>
      </c>
      <c r="K7" s="238" t="s">
        <v>40</v>
      </c>
      <c r="L7" s="61" t="s">
        <v>1091</v>
      </c>
      <c r="M7" s="101" t="s">
        <v>1173</v>
      </c>
      <c r="N7" s="149" t="s">
        <v>1090</v>
      </c>
      <c r="O7" s="174" t="e">
        <v>#N/A</v>
      </c>
    </row>
    <row r="8" spans="1:15" ht="60">
      <c r="B8" s="164">
        <v>191</v>
      </c>
      <c r="C8" s="225" t="s">
        <v>29</v>
      </c>
      <c r="D8" s="156" t="s">
        <v>46</v>
      </c>
      <c r="E8" s="156">
        <v>71600</v>
      </c>
      <c r="F8" s="156" t="s">
        <v>47</v>
      </c>
      <c r="G8" s="156" t="s">
        <v>32</v>
      </c>
      <c r="H8" s="156" t="s">
        <v>33</v>
      </c>
      <c r="I8" s="156" t="s">
        <v>34</v>
      </c>
      <c r="J8" s="318" t="s">
        <v>1176</v>
      </c>
      <c r="K8" s="238" t="s">
        <v>48</v>
      </c>
      <c r="L8" s="61" t="s">
        <v>1091</v>
      </c>
      <c r="M8" s="101" t="s">
        <v>1004</v>
      </c>
      <c r="N8" s="149" t="s">
        <v>1090</v>
      </c>
      <c r="O8" s="174" t="e">
        <v>#N/A</v>
      </c>
    </row>
    <row r="9" spans="1:15" ht="30">
      <c r="B9" s="164">
        <v>183</v>
      </c>
      <c r="C9" s="225" t="s">
        <v>29</v>
      </c>
      <c r="D9" s="156" t="s">
        <v>41</v>
      </c>
      <c r="E9" s="156">
        <v>71300</v>
      </c>
      <c r="F9" s="156" t="s">
        <v>42</v>
      </c>
      <c r="G9" s="156" t="s">
        <v>32</v>
      </c>
      <c r="H9" s="156" t="s">
        <v>33</v>
      </c>
      <c r="I9" s="156" t="s">
        <v>34</v>
      </c>
      <c r="J9" s="318" t="s">
        <v>43</v>
      </c>
      <c r="K9" s="238" t="s">
        <v>44</v>
      </c>
      <c r="L9" s="61" t="s">
        <v>1090</v>
      </c>
      <c r="M9" s="101" t="s">
        <v>45</v>
      </c>
      <c r="N9" s="149" t="s">
        <v>1088</v>
      </c>
      <c r="O9" s="174" t="e">
        <v>#N/A</v>
      </c>
    </row>
    <row r="10" spans="1:15" s="137" customFormat="1" ht="30">
      <c r="A10" s="138"/>
      <c r="B10" s="164">
        <v>160</v>
      </c>
      <c r="C10" s="225" t="s">
        <v>29</v>
      </c>
      <c r="D10" s="221" t="s">
        <v>30</v>
      </c>
      <c r="E10" s="221">
        <v>71400</v>
      </c>
      <c r="F10" s="156" t="s">
        <v>31</v>
      </c>
      <c r="G10" s="221" t="s">
        <v>32</v>
      </c>
      <c r="H10" s="221" t="s">
        <v>33</v>
      </c>
      <c r="I10" s="156" t="s">
        <v>34</v>
      </c>
      <c r="J10" s="366" t="s">
        <v>35</v>
      </c>
      <c r="K10" s="221" t="s">
        <v>36</v>
      </c>
      <c r="L10" s="87"/>
      <c r="M10" s="221" t="s">
        <v>999</v>
      </c>
      <c r="N10" s="226" t="s">
        <v>1029</v>
      </c>
      <c r="O10" s="174" t="e">
        <v>#N/A</v>
      </c>
    </row>
    <row r="11" spans="1:15" s="152" customFormat="1" ht="60">
      <c r="A11" s="153"/>
      <c r="B11" s="164">
        <v>175</v>
      </c>
      <c r="C11" s="573" t="s">
        <v>29</v>
      </c>
      <c r="D11" s="295" t="s">
        <v>199</v>
      </c>
      <c r="E11" s="295" t="s">
        <v>200</v>
      </c>
      <c r="F11" s="295" t="s">
        <v>201</v>
      </c>
      <c r="G11" s="295" t="s">
        <v>202</v>
      </c>
      <c r="H11" s="295" t="s">
        <v>33</v>
      </c>
      <c r="I11" s="295" t="s">
        <v>34</v>
      </c>
      <c r="J11" s="545" t="s">
        <v>1174</v>
      </c>
      <c r="K11" s="297" t="s">
        <v>203</v>
      </c>
      <c r="L11" s="305" t="s">
        <v>166</v>
      </c>
      <c r="M11" s="296" t="s">
        <v>204</v>
      </c>
      <c r="N11" s="303" t="s">
        <v>205</v>
      </c>
      <c r="O11" s="174" t="e">
        <v>#N/A</v>
      </c>
    </row>
    <row r="12" spans="1:15" ht="75">
      <c r="B12" s="164">
        <v>131</v>
      </c>
      <c r="C12" s="225" t="s">
        <v>83</v>
      </c>
      <c r="D12" s="156" t="s">
        <v>194</v>
      </c>
      <c r="E12" s="156" t="s">
        <v>195</v>
      </c>
      <c r="F12" s="156" t="s">
        <v>238</v>
      </c>
      <c r="G12" s="156" t="s">
        <v>410</v>
      </c>
      <c r="H12" s="156" t="s">
        <v>86</v>
      </c>
      <c r="I12" s="156" t="s">
        <v>34</v>
      </c>
      <c r="J12" s="317" t="s">
        <v>239</v>
      </c>
      <c r="K12" s="244" t="s">
        <v>240</v>
      </c>
      <c r="L12" s="317" t="s">
        <v>241</v>
      </c>
      <c r="M12" s="105" t="s">
        <v>426</v>
      </c>
      <c r="N12" s="287" t="s">
        <v>427</v>
      </c>
      <c r="O12" s="174" t="e">
        <v>#N/A</v>
      </c>
    </row>
    <row r="13" spans="1:15">
      <c r="B13" s="164">
        <v>120</v>
      </c>
      <c r="C13" s="225" t="s">
        <v>83</v>
      </c>
      <c r="D13" s="156" t="s">
        <v>557</v>
      </c>
      <c r="E13" s="156">
        <v>39190</v>
      </c>
      <c r="F13" s="156" t="s">
        <v>558</v>
      </c>
      <c r="G13" s="156" t="s">
        <v>966</v>
      </c>
      <c r="H13" s="156" t="s">
        <v>1197</v>
      </c>
      <c r="I13" s="156" t="s">
        <v>34</v>
      </c>
      <c r="J13" s="317" t="s">
        <v>239</v>
      </c>
      <c r="K13" s="244" t="s">
        <v>559</v>
      </c>
      <c r="L13" s="317" t="s">
        <v>241</v>
      </c>
      <c r="M13" s="105" t="s">
        <v>560</v>
      </c>
      <c r="N13" s="262" t="s">
        <v>63</v>
      </c>
      <c r="O13" s="174" t="e">
        <v>#N/A</v>
      </c>
    </row>
    <row r="14" spans="1:15">
      <c r="B14" s="164">
        <v>140</v>
      </c>
      <c r="C14" s="225" t="s">
        <v>83</v>
      </c>
      <c r="D14" s="156" t="s">
        <v>561</v>
      </c>
      <c r="E14" s="156">
        <v>39110</v>
      </c>
      <c r="F14" s="156" t="s">
        <v>562</v>
      </c>
      <c r="G14" s="156" t="s">
        <v>966</v>
      </c>
      <c r="H14" s="156" t="s">
        <v>1197</v>
      </c>
      <c r="I14" s="156" t="s">
        <v>34</v>
      </c>
      <c r="J14" s="317" t="s">
        <v>239</v>
      </c>
      <c r="K14" s="244" t="s">
        <v>563</v>
      </c>
      <c r="L14" s="317" t="s">
        <v>241</v>
      </c>
      <c r="M14" s="105" t="s">
        <v>564</v>
      </c>
      <c r="N14" s="262" t="s">
        <v>63</v>
      </c>
      <c r="O14" s="174" t="e">
        <v>#N/A</v>
      </c>
    </row>
    <row r="15" spans="1:15" s="137" customFormat="1">
      <c r="A15" s="138"/>
      <c r="B15" s="164">
        <v>116</v>
      </c>
      <c r="C15" s="225" t="s">
        <v>83</v>
      </c>
      <c r="D15" s="156" t="s">
        <v>84</v>
      </c>
      <c r="E15" s="156">
        <v>39600</v>
      </c>
      <c r="F15" s="156" t="s">
        <v>85</v>
      </c>
      <c r="G15" s="156" t="s">
        <v>32</v>
      </c>
      <c r="H15" s="156" t="s">
        <v>86</v>
      </c>
      <c r="I15" s="156" t="s">
        <v>34</v>
      </c>
      <c r="J15" s="317" t="s">
        <v>87</v>
      </c>
      <c r="K15" s="244" t="s">
        <v>88</v>
      </c>
      <c r="L15" s="66" t="s">
        <v>1091</v>
      </c>
      <c r="M15" s="105" t="s">
        <v>89</v>
      </c>
      <c r="N15" s="149" t="s">
        <v>1090</v>
      </c>
      <c r="O15" s="174" t="e">
        <v>#N/A</v>
      </c>
    </row>
    <row r="16" spans="1:15" ht="30">
      <c r="B16" s="164">
        <v>119</v>
      </c>
      <c r="C16" s="225" t="s">
        <v>83</v>
      </c>
      <c r="D16" s="156" t="s">
        <v>90</v>
      </c>
      <c r="E16" s="156">
        <v>39300</v>
      </c>
      <c r="F16" s="156" t="s">
        <v>91</v>
      </c>
      <c r="G16" s="156" t="s">
        <v>32</v>
      </c>
      <c r="H16" s="156" t="s">
        <v>86</v>
      </c>
      <c r="I16" s="156" t="s">
        <v>34</v>
      </c>
      <c r="J16" s="317" t="s">
        <v>92</v>
      </c>
      <c r="K16" s="244" t="s">
        <v>93</v>
      </c>
      <c r="L16" s="66" t="s">
        <v>1091</v>
      </c>
      <c r="M16" s="105" t="s">
        <v>89</v>
      </c>
      <c r="N16" s="149" t="s">
        <v>1090</v>
      </c>
      <c r="O16" s="174" t="e">
        <v>#N/A</v>
      </c>
    </row>
    <row r="17" spans="2:15" ht="60">
      <c r="B17" s="164">
        <v>129</v>
      </c>
      <c r="C17" s="573" t="s">
        <v>83</v>
      </c>
      <c r="D17" s="295" t="s">
        <v>194</v>
      </c>
      <c r="E17" s="295" t="s">
        <v>195</v>
      </c>
      <c r="F17" s="295" t="s">
        <v>238</v>
      </c>
      <c r="G17" s="295" t="s">
        <v>202</v>
      </c>
      <c r="H17" s="295" t="s">
        <v>86</v>
      </c>
      <c r="I17" s="295" t="s">
        <v>34</v>
      </c>
      <c r="J17" s="306" t="s">
        <v>239</v>
      </c>
      <c r="K17" s="299" t="s">
        <v>240</v>
      </c>
      <c r="L17" s="306" t="s">
        <v>241</v>
      </c>
      <c r="M17" s="298" t="s">
        <v>242</v>
      </c>
      <c r="N17" s="303" t="s">
        <v>210</v>
      </c>
      <c r="O17" s="174" t="e">
        <v>#N/A</v>
      </c>
    </row>
    <row r="18" spans="2:15">
      <c r="B18" s="164">
        <v>118</v>
      </c>
      <c r="C18" s="662" t="s">
        <v>83</v>
      </c>
      <c r="D18" s="127" t="s">
        <v>656</v>
      </c>
      <c r="E18" s="127" t="s">
        <v>657</v>
      </c>
      <c r="F18" s="127" t="s">
        <v>658</v>
      </c>
      <c r="G18" s="98" t="s">
        <v>712</v>
      </c>
      <c r="H18" s="127" t="s">
        <v>659</v>
      </c>
      <c r="I18" s="127" t="s">
        <v>34</v>
      </c>
      <c r="J18" s="340" t="s">
        <v>660</v>
      </c>
      <c r="K18" s="127" t="s">
        <v>661</v>
      </c>
      <c r="L18" s="340" t="s">
        <v>662</v>
      </c>
      <c r="M18" s="258" t="s">
        <v>1090</v>
      </c>
      <c r="N18" s="583" t="s">
        <v>713</v>
      </c>
      <c r="O18" s="174" t="e">
        <v>#N/A</v>
      </c>
    </row>
    <row r="19" spans="2:15" ht="45">
      <c r="B19" s="164">
        <v>117</v>
      </c>
      <c r="C19" s="224" t="s">
        <v>83</v>
      </c>
      <c r="D19" s="96" t="s">
        <v>656</v>
      </c>
      <c r="E19" s="96" t="s">
        <v>657</v>
      </c>
      <c r="F19" s="96" t="s">
        <v>658</v>
      </c>
      <c r="G19" s="96" t="s">
        <v>9</v>
      </c>
      <c r="H19" s="96" t="s">
        <v>659</v>
      </c>
      <c r="I19" s="96" t="s">
        <v>34</v>
      </c>
      <c r="J19" s="333" t="s">
        <v>660</v>
      </c>
      <c r="K19" s="96" t="s">
        <v>661</v>
      </c>
      <c r="L19" s="333" t="s">
        <v>662</v>
      </c>
      <c r="M19" s="258" t="s">
        <v>1090</v>
      </c>
      <c r="N19" s="294" t="s">
        <v>663</v>
      </c>
      <c r="O19" s="174" t="e">
        <v>#N/A</v>
      </c>
    </row>
    <row r="20" spans="2:15" ht="30">
      <c r="B20" s="164">
        <v>194</v>
      </c>
      <c r="C20" s="407" t="s">
        <v>108</v>
      </c>
      <c r="D20" s="126" t="s">
        <v>586</v>
      </c>
      <c r="E20" s="126" t="s">
        <v>587</v>
      </c>
      <c r="F20" s="128" t="s">
        <v>588</v>
      </c>
      <c r="G20" s="128" t="s">
        <v>589</v>
      </c>
      <c r="H20" s="126" t="s">
        <v>256</v>
      </c>
      <c r="I20" s="126" t="s">
        <v>34</v>
      </c>
      <c r="J20" s="328" t="s">
        <v>257</v>
      </c>
      <c r="K20" s="126" t="s">
        <v>258</v>
      </c>
      <c r="L20" s="328" t="s">
        <v>259</v>
      </c>
      <c r="M20" s="258" t="s">
        <v>1091</v>
      </c>
      <c r="N20" s="274" t="s">
        <v>590</v>
      </c>
      <c r="O20" s="174" t="s">
        <v>814</v>
      </c>
    </row>
    <row r="21" spans="2:15" ht="30">
      <c r="B21" s="164">
        <v>67</v>
      </c>
      <c r="C21" s="504" t="s">
        <v>101</v>
      </c>
      <c r="D21" s="111" t="s">
        <v>182</v>
      </c>
      <c r="E21" s="111">
        <v>25200</v>
      </c>
      <c r="F21" s="111" t="s">
        <v>264</v>
      </c>
      <c r="G21" s="111" t="s">
        <v>7</v>
      </c>
      <c r="H21" s="111" t="s">
        <v>256</v>
      </c>
      <c r="I21" s="111" t="s">
        <v>34</v>
      </c>
      <c r="J21" s="311" t="s">
        <v>257</v>
      </c>
      <c r="K21" s="239" t="s">
        <v>265</v>
      </c>
      <c r="L21" s="311" t="s">
        <v>259</v>
      </c>
      <c r="M21" s="129" t="s">
        <v>260</v>
      </c>
      <c r="N21" s="246" t="s">
        <v>261</v>
      </c>
      <c r="O21" s="174" t="s">
        <v>814</v>
      </c>
    </row>
    <row r="22" spans="2:15" ht="45">
      <c r="B22" s="164">
        <v>91</v>
      </c>
      <c r="C22" s="663" t="s">
        <v>57</v>
      </c>
      <c r="D22" s="129" t="s">
        <v>111</v>
      </c>
      <c r="E22" s="129">
        <v>70400</v>
      </c>
      <c r="F22" s="129" t="s">
        <v>262</v>
      </c>
      <c r="G22" s="129" t="s">
        <v>7</v>
      </c>
      <c r="H22" s="129" t="s">
        <v>256</v>
      </c>
      <c r="I22" s="129" t="s">
        <v>34</v>
      </c>
      <c r="J22" s="311" t="s">
        <v>257</v>
      </c>
      <c r="K22" s="129" t="s">
        <v>263</v>
      </c>
      <c r="L22" s="311" t="s">
        <v>259</v>
      </c>
      <c r="M22" s="129" t="s">
        <v>260</v>
      </c>
      <c r="N22" s="246" t="s">
        <v>261</v>
      </c>
      <c r="O22" s="174" t="s">
        <v>814</v>
      </c>
    </row>
    <row r="23" spans="2:15" ht="30">
      <c r="B23" s="164">
        <v>198</v>
      </c>
      <c r="C23" s="504" t="s">
        <v>108</v>
      </c>
      <c r="D23" s="111" t="s">
        <v>109</v>
      </c>
      <c r="E23" s="111">
        <v>90000</v>
      </c>
      <c r="F23" s="111" t="s">
        <v>255</v>
      </c>
      <c r="G23" s="111" t="s">
        <v>7</v>
      </c>
      <c r="H23" s="111" t="s">
        <v>256</v>
      </c>
      <c r="I23" s="111" t="s">
        <v>34</v>
      </c>
      <c r="J23" s="311" t="s">
        <v>257</v>
      </c>
      <c r="K23" s="239" t="s">
        <v>258</v>
      </c>
      <c r="L23" s="311" t="s">
        <v>259</v>
      </c>
      <c r="M23" s="129" t="s">
        <v>260</v>
      </c>
      <c r="N23" s="130" t="s">
        <v>261</v>
      </c>
      <c r="O23" s="174" t="s">
        <v>814</v>
      </c>
    </row>
    <row r="24" spans="2:15" ht="45">
      <c r="B24" s="164">
        <v>195</v>
      </c>
      <c r="C24" s="224" t="s">
        <v>108</v>
      </c>
      <c r="D24" s="96" t="s">
        <v>586</v>
      </c>
      <c r="E24" s="96" t="s">
        <v>587</v>
      </c>
      <c r="F24" s="96" t="s">
        <v>664</v>
      </c>
      <c r="G24" s="96" t="s">
        <v>9</v>
      </c>
      <c r="H24" s="96" t="s">
        <v>256</v>
      </c>
      <c r="I24" s="96" t="s">
        <v>34</v>
      </c>
      <c r="J24" s="333" t="s">
        <v>257</v>
      </c>
      <c r="K24" s="96" t="s">
        <v>665</v>
      </c>
      <c r="L24" s="333" t="s">
        <v>259</v>
      </c>
      <c r="M24" s="258" t="s">
        <v>1091</v>
      </c>
      <c r="N24" s="291" t="s">
        <v>666</v>
      </c>
      <c r="O24" s="174" t="s">
        <v>814</v>
      </c>
    </row>
    <row r="25" spans="2:15" ht="60">
      <c r="B25" s="164">
        <v>48</v>
      </c>
      <c r="C25" s="664" t="s">
        <v>101</v>
      </c>
      <c r="D25" s="203" t="s">
        <v>137</v>
      </c>
      <c r="E25" s="203" t="s">
        <v>138</v>
      </c>
      <c r="F25" s="203" t="s">
        <v>139</v>
      </c>
      <c r="G25" s="203" t="s">
        <v>5</v>
      </c>
      <c r="H25" s="203" t="s">
        <v>140</v>
      </c>
      <c r="I25" s="203" t="s">
        <v>34</v>
      </c>
      <c r="J25" s="359" t="s">
        <v>141</v>
      </c>
      <c r="K25" s="240" t="s">
        <v>142</v>
      </c>
      <c r="L25" s="108" t="s">
        <v>143</v>
      </c>
      <c r="M25" s="204" t="s">
        <v>144</v>
      </c>
      <c r="N25" s="276" t="s">
        <v>145</v>
      </c>
      <c r="O25" s="174" t="e">
        <v>#N/A</v>
      </c>
    </row>
    <row r="26" spans="2:15" ht="45">
      <c r="B26" s="164">
        <v>33</v>
      </c>
      <c r="C26" s="225" t="s">
        <v>49</v>
      </c>
      <c r="D26" s="156" t="s">
        <v>206</v>
      </c>
      <c r="E26" s="156" t="s">
        <v>207</v>
      </c>
      <c r="F26" s="156" t="s">
        <v>1048</v>
      </c>
      <c r="G26" s="156" t="s">
        <v>410</v>
      </c>
      <c r="H26" s="156" t="s">
        <v>51</v>
      </c>
      <c r="I26" s="156" t="s">
        <v>34</v>
      </c>
      <c r="J26" s="326" t="s">
        <v>55</v>
      </c>
      <c r="K26" s="157" t="s">
        <v>56</v>
      </c>
      <c r="L26" s="318" t="s">
        <v>166</v>
      </c>
      <c r="M26" s="101" t="s">
        <v>1049</v>
      </c>
      <c r="N26" s="258" t="s">
        <v>1088</v>
      </c>
      <c r="O26" s="174" t="e">
        <v>#N/A</v>
      </c>
    </row>
    <row r="27" spans="2:15" ht="60">
      <c r="B27" s="164">
        <v>12</v>
      </c>
      <c r="C27" s="225" t="s">
        <v>49</v>
      </c>
      <c r="D27" s="156" t="s">
        <v>50</v>
      </c>
      <c r="E27" s="156">
        <v>21400</v>
      </c>
      <c r="F27" s="156" t="s">
        <v>1065</v>
      </c>
      <c r="G27" s="156" t="s">
        <v>966</v>
      </c>
      <c r="H27" s="156" t="s">
        <v>1066</v>
      </c>
      <c r="I27" s="156" t="s">
        <v>34</v>
      </c>
      <c r="J27" s="318" t="s">
        <v>52</v>
      </c>
      <c r="K27" s="238" t="s">
        <v>56</v>
      </c>
      <c r="L27" s="318" t="s">
        <v>166</v>
      </c>
      <c r="M27" s="101" t="s">
        <v>1062</v>
      </c>
      <c r="N27" s="149" t="s">
        <v>1088</v>
      </c>
      <c r="O27" s="174" t="e">
        <v>#N/A</v>
      </c>
    </row>
    <row r="28" spans="2:15" ht="45">
      <c r="B28" s="164">
        <v>223</v>
      </c>
      <c r="C28" s="665" t="s">
        <v>69</v>
      </c>
      <c r="D28" s="235" t="s">
        <v>437</v>
      </c>
      <c r="E28" s="235">
        <v>89200</v>
      </c>
      <c r="F28" s="235" t="s">
        <v>1074</v>
      </c>
      <c r="G28" s="235" t="s">
        <v>966</v>
      </c>
      <c r="H28" s="235" t="s">
        <v>1066</v>
      </c>
      <c r="I28" s="235" t="s">
        <v>34</v>
      </c>
      <c r="J28" s="322" t="s">
        <v>55</v>
      </c>
      <c r="K28" s="235" t="s">
        <v>56</v>
      </c>
      <c r="L28" s="322" t="s">
        <v>166</v>
      </c>
      <c r="M28" s="235" t="s">
        <v>1075</v>
      </c>
      <c r="N28" s="149" t="s">
        <v>1172</v>
      </c>
      <c r="O28" s="174" t="e">
        <v>#N/A</v>
      </c>
    </row>
    <row r="29" spans="2:15" ht="30">
      <c r="B29" s="164">
        <v>222</v>
      </c>
      <c r="C29" s="666" t="s">
        <v>69</v>
      </c>
      <c r="D29" s="539" t="s">
        <v>437</v>
      </c>
      <c r="E29" s="539">
        <v>89200</v>
      </c>
      <c r="F29" s="539" t="s">
        <v>1072</v>
      </c>
      <c r="G29" s="539" t="s">
        <v>966</v>
      </c>
      <c r="H29" s="539" t="s">
        <v>1073</v>
      </c>
      <c r="I29" s="539" t="s">
        <v>34</v>
      </c>
      <c r="J29" s="319" t="s">
        <v>55</v>
      </c>
      <c r="K29" s="539" t="s">
        <v>56</v>
      </c>
      <c r="L29" s="322" t="s">
        <v>166</v>
      </c>
      <c r="M29" s="235" t="s">
        <v>1171</v>
      </c>
      <c r="N29" s="149" t="s">
        <v>1172</v>
      </c>
      <c r="O29" s="174" t="e">
        <v>#N/A</v>
      </c>
    </row>
    <row r="30" spans="2:15" ht="45">
      <c r="B30" s="164">
        <v>2</v>
      </c>
      <c r="C30" s="225" t="s">
        <v>49</v>
      </c>
      <c r="D30" s="156" t="s">
        <v>1050</v>
      </c>
      <c r="E30" s="156" t="s">
        <v>207</v>
      </c>
      <c r="F30" s="156" t="s">
        <v>1051</v>
      </c>
      <c r="G30" s="156" t="s">
        <v>966</v>
      </c>
      <c r="H30" s="156" t="s">
        <v>51</v>
      </c>
      <c r="I30" s="156" t="s">
        <v>34</v>
      </c>
      <c r="J30" s="326" t="s">
        <v>55</v>
      </c>
      <c r="K30" s="156" t="s">
        <v>56</v>
      </c>
      <c r="L30" s="326" t="s">
        <v>166</v>
      </c>
      <c r="M30" s="156" t="s">
        <v>1052</v>
      </c>
      <c r="N30" s="149" t="s">
        <v>1090</v>
      </c>
      <c r="O30" s="174" t="e">
        <v>#N/A</v>
      </c>
    </row>
    <row r="31" spans="2:15" ht="60">
      <c r="B31" s="164">
        <v>22</v>
      </c>
      <c r="C31" s="225" t="s">
        <v>49</v>
      </c>
      <c r="D31" s="156" t="s">
        <v>186</v>
      </c>
      <c r="E31" s="156">
        <v>21000</v>
      </c>
      <c r="F31" s="156" t="s">
        <v>1053</v>
      </c>
      <c r="G31" s="156" t="s">
        <v>1081</v>
      </c>
      <c r="H31" s="156" t="s">
        <v>51</v>
      </c>
      <c r="I31" s="156" t="s">
        <v>34</v>
      </c>
      <c r="J31" s="326" t="s">
        <v>55</v>
      </c>
      <c r="K31" s="157" t="s">
        <v>56</v>
      </c>
      <c r="L31" s="318" t="s">
        <v>166</v>
      </c>
      <c r="M31" s="270" t="s">
        <v>1054</v>
      </c>
      <c r="N31" s="226" t="s">
        <v>1055</v>
      </c>
      <c r="O31" s="174" t="e">
        <v>#N/A</v>
      </c>
    </row>
    <row r="32" spans="2:15" ht="45">
      <c r="B32" s="164">
        <v>32</v>
      </c>
      <c r="C32" s="225" t="s">
        <v>49</v>
      </c>
      <c r="D32" s="156" t="s">
        <v>206</v>
      </c>
      <c r="E32" s="156" t="s">
        <v>207</v>
      </c>
      <c r="F32" s="156" t="s">
        <v>1056</v>
      </c>
      <c r="G32" s="156" t="s">
        <v>1081</v>
      </c>
      <c r="H32" s="156" t="s">
        <v>51</v>
      </c>
      <c r="I32" s="156" t="s">
        <v>34</v>
      </c>
      <c r="J32" s="575" t="s">
        <v>55</v>
      </c>
      <c r="K32" s="157" t="s">
        <v>56</v>
      </c>
      <c r="L32" s="318" t="s">
        <v>166</v>
      </c>
      <c r="M32" s="270" t="s">
        <v>1057</v>
      </c>
      <c r="N32" s="226" t="s">
        <v>1055</v>
      </c>
      <c r="O32" s="174" t="e">
        <v>#N/A</v>
      </c>
    </row>
    <row r="33" spans="1:15" s="72" customFormat="1">
      <c r="A33" s="71"/>
      <c r="B33" s="164">
        <v>13</v>
      </c>
      <c r="C33" s="225" t="s">
        <v>49</v>
      </c>
      <c r="D33" s="156" t="s">
        <v>50</v>
      </c>
      <c r="E33" s="156">
        <v>21400</v>
      </c>
      <c r="F33" s="156" t="s">
        <v>439</v>
      </c>
      <c r="G33" s="156" t="s">
        <v>966</v>
      </c>
      <c r="H33" s="156" t="s">
        <v>1191</v>
      </c>
      <c r="I33" s="156" t="s">
        <v>34</v>
      </c>
      <c r="J33" s="318" t="s">
        <v>208</v>
      </c>
      <c r="K33" s="238" t="s">
        <v>440</v>
      </c>
      <c r="L33" s="325" t="s">
        <v>1091</v>
      </c>
      <c r="M33" s="101" t="s">
        <v>441</v>
      </c>
      <c r="N33" s="262" t="s">
        <v>63</v>
      </c>
      <c r="O33" s="174" t="e">
        <v>#N/A</v>
      </c>
    </row>
    <row r="34" spans="1:15" ht="30">
      <c r="B34" s="164">
        <v>34</v>
      </c>
      <c r="C34" s="225" t="s">
        <v>49</v>
      </c>
      <c r="D34" s="156" t="s">
        <v>206</v>
      </c>
      <c r="E34" s="156">
        <v>21121</v>
      </c>
      <c r="F34" s="156" t="s">
        <v>442</v>
      </c>
      <c r="G34" s="156" t="s">
        <v>966</v>
      </c>
      <c r="H34" s="156" t="s">
        <v>1191</v>
      </c>
      <c r="I34" s="156" t="s">
        <v>34</v>
      </c>
      <c r="J34" s="322" t="s">
        <v>208</v>
      </c>
      <c r="K34" s="243" t="s">
        <v>443</v>
      </c>
      <c r="L34" s="324" t="s">
        <v>1091</v>
      </c>
      <c r="M34" s="156" t="s">
        <v>444</v>
      </c>
      <c r="N34" s="226" t="s">
        <v>63</v>
      </c>
      <c r="O34" s="174" t="e">
        <v>#N/A</v>
      </c>
    </row>
    <row r="35" spans="1:15" ht="30">
      <c r="B35" s="164">
        <v>39</v>
      </c>
      <c r="C35" s="667" t="s">
        <v>49</v>
      </c>
      <c r="D35" s="156" t="s">
        <v>53</v>
      </c>
      <c r="E35" s="156">
        <v>21210</v>
      </c>
      <c r="F35" s="221" t="s">
        <v>54</v>
      </c>
      <c r="G35" s="221" t="s">
        <v>32</v>
      </c>
      <c r="H35" s="156" t="s">
        <v>51</v>
      </c>
      <c r="I35" s="156" t="s">
        <v>34</v>
      </c>
      <c r="J35" s="317" t="s">
        <v>55</v>
      </c>
      <c r="K35" s="238" t="s">
        <v>56</v>
      </c>
      <c r="L35" s="61" t="s">
        <v>1091</v>
      </c>
      <c r="M35" s="101" t="s">
        <v>1071</v>
      </c>
      <c r="N35" s="149" t="s">
        <v>1090</v>
      </c>
      <c r="O35" s="174" t="e">
        <v>#N/A</v>
      </c>
    </row>
    <row r="36" spans="1:15" ht="30">
      <c r="B36" s="164">
        <v>3</v>
      </c>
      <c r="C36" s="225" t="s">
        <v>49</v>
      </c>
      <c r="D36" s="156" t="s">
        <v>132</v>
      </c>
      <c r="E36" s="156">
        <v>21200</v>
      </c>
      <c r="F36" s="156" t="s">
        <v>1058</v>
      </c>
      <c r="G36" s="156" t="s">
        <v>32</v>
      </c>
      <c r="H36" s="156" t="s">
        <v>51</v>
      </c>
      <c r="I36" s="156" t="s">
        <v>34</v>
      </c>
      <c r="J36" s="318" t="s">
        <v>1059</v>
      </c>
      <c r="K36" s="238" t="s">
        <v>1060</v>
      </c>
      <c r="L36" s="318" t="s">
        <v>166</v>
      </c>
      <c r="M36" s="101" t="s">
        <v>1061</v>
      </c>
      <c r="N36" s="149" t="s">
        <v>1090</v>
      </c>
      <c r="O36" s="174" t="e">
        <v>#N/A</v>
      </c>
    </row>
    <row r="37" spans="1:15" ht="45">
      <c r="B37" s="164">
        <v>8</v>
      </c>
      <c r="C37" s="225" t="s">
        <v>49</v>
      </c>
      <c r="D37" s="156" t="s">
        <v>50</v>
      </c>
      <c r="E37" s="156">
        <v>21400</v>
      </c>
      <c r="F37" s="156" t="s">
        <v>1063</v>
      </c>
      <c r="G37" s="156" t="s">
        <v>32</v>
      </c>
      <c r="H37" s="156" t="s">
        <v>51</v>
      </c>
      <c r="I37" s="156" t="s">
        <v>34</v>
      </c>
      <c r="J37" s="318" t="s">
        <v>52</v>
      </c>
      <c r="K37" s="238" t="s">
        <v>56</v>
      </c>
      <c r="L37" s="318" t="s">
        <v>166</v>
      </c>
      <c r="M37" s="101" t="s">
        <v>1064</v>
      </c>
      <c r="N37" s="149" t="s">
        <v>1090</v>
      </c>
      <c r="O37" s="174" t="e">
        <v>#N/A</v>
      </c>
    </row>
    <row r="38" spans="1:15" ht="45">
      <c r="B38" s="164">
        <v>1</v>
      </c>
      <c r="C38" s="573" t="s">
        <v>49</v>
      </c>
      <c r="D38" s="295" t="s">
        <v>1050</v>
      </c>
      <c r="E38" s="295" t="s">
        <v>207</v>
      </c>
      <c r="F38" s="295" t="s">
        <v>1051</v>
      </c>
      <c r="G38" s="295" t="s">
        <v>202</v>
      </c>
      <c r="H38" s="295" t="s">
        <v>51</v>
      </c>
      <c r="I38" s="295" t="s">
        <v>34</v>
      </c>
      <c r="J38" s="305" t="s">
        <v>55</v>
      </c>
      <c r="K38" s="297" t="s">
        <v>56</v>
      </c>
      <c r="L38" s="533" t="s">
        <v>166</v>
      </c>
      <c r="M38" s="296" t="s">
        <v>1052</v>
      </c>
      <c r="N38" s="149" t="s">
        <v>1090</v>
      </c>
      <c r="O38" s="174" t="e">
        <v>#N/A</v>
      </c>
    </row>
    <row r="39" spans="1:15" ht="45">
      <c r="B39" s="164">
        <v>9</v>
      </c>
      <c r="C39" s="573" t="s">
        <v>49</v>
      </c>
      <c r="D39" s="295" t="s">
        <v>50</v>
      </c>
      <c r="E39" s="295">
        <v>21400</v>
      </c>
      <c r="F39" s="295" t="s">
        <v>1067</v>
      </c>
      <c r="G39" s="295" t="s">
        <v>202</v>
      </c>
      <c r="H39" s="295" t="s">
        <v>51</v>
      </c>
      <c r="I39" s="295" t="s">
        <v>34</v>
      </c>
      <c r="J39" s="309" t="s">
        <v>52</v>
      </c>
      <c r="K39" s="295" t="s">
        <v>56</v>
      </c>
      <c r="L39" s="309" t="s">
        <v>166</v>
      </c>
      <c r="M39" s="295" t="s">
        <v>1068</v>
      </c>
      <c r="N39" s="149" t="s">
        <v>1090</v>
      </c>
      <c r="O39" s="174" t="e">
        <v>#N/A</v>
      </c>
    </row>
    <row r="40" spans="1:15" ht="45">
      <c r="B40" s="164">
        <v>10</v>
      </c>
      <c r="C40" s="573" t="s">
        <v>49</v>
      </c>
      <c r="D40" s="295" t="s">
        <v>50</v>
      </c>
      <c r="E40" s="295">
        <v>21400</v>
      </c>
      <c r="F40" s="295" t="s">
        <v>1069</v>
      </c>
      <c r="G40" s="295" t="s">
        <v>202</v>
      </c>
      <c r="H40" s="295" t="s">
        <v>51</v>
      </c>
      <c r="I40" s="295" t="s">
        <v>34</v>
      </c>
      <c r="J40" s="309" t="s">
        <v>52</v>
      </c>
      <c r="K40" s="295" t="s">
        <v>56</v>
      </c>
      <c r="L40" s="309" t="s">
        <v>166</v>
      </c>
      <c r="M40" s="295" t="s">
        <v>1068</v>
      </c>
      <c r="N40" s="149" t="s">
        <v>1090</v>
      </c>
      <c r="O40" s="174" t="e">
        <v>#N/A</v>
      </c>
    </row>
    <row r="41" spans="1:15" ht="45">
      <c r="B41" s="164">
        <v>11</v>
      </c>
      <c r="C41" s="573" t="s">
        <v>49</v>
      </c>
      <c r="D41" s="295" t="s">
        <v>50</v>
      </c>
      <c r="E41" s="295">
        <v>21400</v>
      </c>
      <c r="F41" s="295" t="s">
        <v>1070</v>
      </c>
      <c r="G41" s="295" t="s">
        <v>202</v>
      </c>
      <c r="H41" s="295" t="s">
        <v>51</v>
      </c>
      <c r="I41" s="295" t="s">
        <v>34</v>
      </c>
      <c r="J41" s="309" t="s">
        <v>52</v>
      </c>
      <c r="K41" s="295" t="s">
        <v>56</v>
      </c>
      <c r="L41" s="309" t="s">
        <v>166</v>
      </c>
      <c r="M41" s="295" t="s">
        <v>1068</v>
      </c>
      <c r="N41" s="149" t="s">
        <v>1088</v>
      </c>
      <c r="O41" s="174" t="e">
        <v>#N/A</v>
      </c>
    </row>
    <row r="42" spans="1:15" s="158" customFormat="1" ht="90">
      <c r="A42" s="159"/>
      <c r="B42" s="164">
        <v>106</v>
      </c>
      <c r="C42" s="225" t="s">
        <v>57</v>
      </c>
      <c r="D42" s="156" t="s">
        <v>146</v>
      </c>
      <c r="E42" s="156" t="s">
        <v>147</v>
      </c>
      <c r="F42" s="156" t="s">
        <v>148</v>
      </c>
      <c r="G42" s="156" t="s">
        <v>410</v>
      </c>
      <c r="H42" s="156" t="s">
        <v>60</v>
      </c>
      <c r="I42" s="156" t="s">
        <v>34</v>
      </c>
      <c r="J42" s="318" t="s">
        <v>952</v>
      </c>
      <c r="K42" s="238" t="s">
        <v>67</v>
      </c>
      <c r="L42" s="318" t="s">
        <v>150</v>
      </c>
      <c r="M42" s="101" t="s">
        <v>1000</v>
      </c>
      <c r="N42" s="287" t="s">
        <v>412</v>
      </c>
      <c r="O42" s="174" t="e">
        <v>#N/A</v>
      </c>
    </row>
    <row r="43" spans="1:15" s="146" customFormat="1" ht="30">
      <c r="A43" s="147"/>
      <c r="B43" s="164">
        <v>115</v>
      </c>
      <c r="C43" s="225" t="s">
        <v>57</v>
      </c>
      <c r="D43" s="101" t="s">
        <v>961</v>
      </c>
      <c r="E43" s="101">
        <v>70000</v>
      </c>
      <c r="F43" s="101" t="s">
        <v>962</v>
      </c>
      <c r="G43" s="156" t="s">
        <v>966</v>
      </c>
      <c r="H43" s="156" t="s">
        <v>60</v>
      </c>
      <c r="I43" s="101" t="s">
        <v>34</v>
      </c>
      <c r="J43" s="318" t="s">
        <v>963</v>
      </c>
      <c r="K43" s="238" t="s">
        <v>67</v>
      </c>
      <c r="L43" s="318" t="s">
        <v>150</v>
      </c>
      <c r="M43" s="101" t="s">
        <v>964</v>
      </c>
      <c r="N43" s="262" t="s">
        <v>965</v>
      </c>
      <c r="O43" s="174" t="e">
        <v>#N/A</v>
      </c>
    </row>
    <row r="44" spans="1:15" ht="30">
      <c r="B44" s="164">
        <v>87</v>
      </c>
      <c r="C44" s="225" t="s">
        <v>57</v>
      </c>
      <c r="D44" s="156" t="s">
        <v>58</v>
      </c>
      <c r="E44" s="156">
        <v>70100</v>
      </c>
      <c r="F44" s="156" t="s">
        <v>445</v>
      </c>
      <c r="G44" s="156" t="s">
        <v>966</v>
      </c>
      <c r="H44" s="156" t="s">
        <v>462</v>
      </c>
      <c r="I44" s="156" t="s">
        <v>34</v>
      </c>
      <c r="J44" s="318" t="s">
        <v>209</v>
      </c>
      <c r="K44" s="238" t="s">
        <v>446</v>
      </c>
      <c r="L44" s="318" t="s">
        <v>150</v>
      </c>
      <c r="M44" s="101" t="s">
        <v>447</v>
      </c>
      <c r="N44" s="262" t="s">
        <v>63</v>
      </c>
      <c r="O44" s="174" t="e">
        <v>#N/A</v>
      </c>
    </row>
    <row r="45" spans="1:15" s="137" customFormat="1" ht="30">
      <c r="A45" s="138"/>
      <c r="B45" s="164">
        <v>92</v>
      </c>
      <c r="C45" s="668" t="s">
        <v>57</v>
      </c>
      <c r="D45" s="221" t="s">
        <v>448</v>
      </c>
      <c r="E45" s="221">
        <v>70500</v>
      </c>
      <c r="F45" s="156" t="s">
        <v>449</v>
      </c>
      <c r="G45" s="156" t="s">
        <v>966</v>
      </c>
      <c r="H45" s="221" t="s">
        <v>462</v>
      </c>
      <c r="I45" s="156" t="s">
        <v>34</v>
      </c>
      <c r="J45" s="317" t="s">
        <v>952</v>
      </c>
      <c r="K45" s="244" t="s">
        <v>67</v>
      </c>
      <c r="L45" s="317" t="s">
        <v>150</v>
      </c>
      <c r="M45" s="105" t="s">
        <v>967</v>
      </c>
      <c r="N45" s="101" t="s">
        <v>63</v>
      </c>
      <c r="O45" s="174" t="e">
        <v>#N/A</v>
      </c>
    </row>
    <row r="46" spans="1:15" s="137" customFormat="1" ht="30">
      <c r="A46" s="138"/>
      <c r="B46" s="164">
        <v>94</v>
      </c>
      <c r="C46" s="668" t="s">
        <v>57</v>
      </c>
      <c r="D46" s="156" t="s">
        <v>389</v>
      </c>
      <c r="E46" s="156">
        <v>70200</v>
      </c>
      <c r="F46" s="156" t="s">
        <v>450</v>
      </c>
      <c r="G46" s="156" t="s">
        <v>966</v>
      </c>
      <c r="H46" s="156" t="s">
        <v>462</v>
      </c>
      <c r="I46" s="156" t="s">
        <v>34</v>
      </c>
      <c r="J46" s="318" t="s">
        <v>952</v>
      </c>
      <c r="K46" s="238" t="s">
        <v>67</v>
      </c>
      <c r="L46" s="318" t="s">
        <v>150</v>
      </c>
      <c r="M46" s="101" t="s">
        <v>451</v>
      </c>
      <c r="N46" s="262" t="s">
        <v>63</v>
      </c>
      <c r="O46" s="174" t="e">
        <v>#N/A</v>
      </c>
    </row>
    <row r="47" spans="1:15" ht="30">
      <c r="B47" s="164">
        <v>98</v>
      </c>
      <c r="C47" s="668" t="s">
        <v>57</v>
      </c>
      <c r="D47" s="408" t="s">
        <v>64</v>
      </c>
      <c r="E47" s="408">
        <v>70300</v>
      </c>
      <c r="F47" s="226" t="s">
        <v>452</v>
      </c>
      <c r="G47" s="156" t="s">
        <v>966</v>
      </c>
      <c r="H47" s="394" t="s">
        <v>462</v>
      </c>
      <c r="I47" s="156" t="s">
        <v>34</v>
      </c>
      <c r="J47" s="409" t="s">
        <v>209</v>
      </c>
      <c r="K47" s="577" t="s">
        <v>453</v>
      </c>
      <c r="L47" s="323" t="s">
        <v>150</v>
      </c>
      <c r="M47" s="101" t="s">
        <v>454</v>
      </c>
      <c r="N47" s="262" t="s">
        <v>63</v>
      </c>
      <c r="O47" s="174" t="e">
        <v>#N/A</v>
      </c>
    </row>
    <row r="48" spans="1:15" ht="30">
      <c r="B48" s="164">
        <v>102</v>
      </c>
      <c r="C48" s="225" t="s">
        <v>57</v>
      </c>
      <c r="D48" s="156" t="s">
        <v>455</v>
      </c>
      <c r="E48" s="156">
        <v>70190</v>
      </c>
      <c r="F48" s="156" t="s">
        <v>456</v>
      </c>
      <c r="G48" s="156" t="s">
        <v>966</v>
      </c>
      <c r="H48" s="156" t="s">
        <v>462</v>
      </c>
      <c r="I48" s="156" t="s">
        <v>34</v>
      </c>
      <c r="J48" s="318" t="s">
        <v>952</v>
      </c>
      <c r="K48" s="238" t="s">
        <v>67</v>
      </c>
      <c r="L48" s="318" t="s">
        <v>150</v>
      </c>
      <c r="M48" s="101" t="s">
        <v>457</v>
      </c>
      <c r="N48" s="262" t="s">
        <v>63</v>
      </c>
      <c r="O48" s="174" t="e">
        <v>#N/A</v>
      </c>
    </row>
    <row r="49" spans="1:15" ht="30">
      <c r="B49" s="164">
        <v>107</v>
      </c>
      <c r="C49" s="667" t="s">
        <v>57</v>
      </c>
      <c r="D49" s="221" t="s">
        <v>146</v>
      </c>
      <c r="E49" s="221">
        <v>70000</v>
      </c>
      <c r="F49" s="156" t="s">
        <v>458</v>
      </c>
      <c r="G49" s="221" t="s">
        <v>966</v>
      </c>
      <c r="H49" s="221" t="s">
        <v>462</v>
      </c>
      <c r="I49" s="221" t="s">
        <v>34</v>
      </c>
      <c r="J49" s="317" t="s">
        <v>209</v>
      </c>
      <c r="K49" s="244" t="s">
        <v>459</v>
      </c>
      <c r="L49" s="318" t="s">
        <v>150</v>
      </c>
      <c r="M49" s="101" t="s">
        <v>460</v>
      </c>
      <c r="N49" s="262" t="s">
        <v>63</v>
      </c>
      <c r="O49" s="174" t="e">
        <v>#N/A</v>
      </c>
    </row>
    <row r="50" spans="1:15" ht="30">
      <c r="B50" s="164">
        <v>108</v>
      </c>
      <c r="C50" s="225" t="s">
        <v>57</v>
      </c>
      <c r="D50" s="156" t="s">
        <v>146</v>
      </c>
      <c r="E50" s="156">
        <v>70000</v>
      </c>
      <c r="F50" s="156" t="s">
        <v>461</v>
      </c>
      <c r="G50" s="156" t="s">
        <v>966</v>
      </c>
      <c r="H50" s="156" t="s">
        <v>462</v>
      </c>
      <c r="I50" s="156" t="s">
        <v>34</v>
      </c>
      <c r="J50" s="318" t="s">
        <v>952</v>
      </c>
      <c r="K50" s="238" t="s">
        <v>67</v>
      </c>
      <c r="L50" s="318" t="s">
        <v>150</v>
      </c>
      <c r="M50" s="101" t="s">
        <v>959</v>
      </c>
      <c r="N50" s="262" t="s">
        <v>960</v>
      </c>
      <c r="O50" s="174" t="e">
        <v>#N/A</v>
      </c>
    </row>
    <row r="51" spans="1:15" ht="30">
      <c r="B51" s="164">
        <v>109</v>
      </c>
      <c r="C51" s="225" t="s">
        <v>57</v>
      </c>
      <c r="D51" s="156" t="s">
        <v>146</v>
      </c>
      <c r="E51" s="156">
        <v>70000</v>
      </c>
      <c r="F51" s="156" t="s">
        <v>463</v>
      </c>
      <c r="G51" s="156" t="s">
        <v>966</v>
      </c>
      <c r="H51" s="156" t="s">
        <v>462</v>
      </c>
      <c r="I51" s="156" t="s">
        <v>34</v>
      </c>
      <c r="J51" s="322" t="s">
        <v>952</v>
      </c>
      <c r="K51" s="156" t="s">
        <v>953</v>
      </c>
      <c r="L51" s="318" t="s">
        <v>150</v>
      </c>
      <c r="M51" s="156" t="s">
        <v>464</v>
      </c>
      <c r="N51" s="156" t="s">
        <v>63</v>
      </c>
      <c r="O51" s="174" t="e">
        <v>#N/A</v>
      </c>
    </row>
    <row r="52" spans="1:15" ht="30">
      <c r="B52" s="164">
        <v>101</v>
      </c>
      <c r="C52" s="225" t="s">
        <v>57</v>
      </c>
      <c r="D52" s="156" t="s">
        <v>465</v>
      </c>
      <c r="E52" s="156">
        <v>70130</v>
      </c>
      <c r="F52" s="156" t="s">
        <v>466</v>
      </c>
      <c r="G52" s="156" t="s">
        <v>966</v>
      </c>
      <c r="H52" s="156" t="s">
        <v>1196</v>
      </c>
      <c r="I52" s="156" t="s">
        <v>34</v>
      </c>
      <c r="J52" s="318" t="s">
        <v>952</v>
      </c>
      <c r="K52" s="238" t="s">
        <v>467</v>
      </c>
      <c r="L52" s="318" t="s">
        <v>150</v>
      </c>
      <c r="M52" s="101" t="s">
        <v>468</v>
      </c>
      <c r="N52" s="101" t="s">
        <v>958</v>
      </c>
      <c r="O52" s="174" t="e">
        <v>#N/A</v>
      </c>
    </row>
    <row r="53" spans="1:15" ht="30">
      <c r="B53" s="164">
        <v>86</v>
      </c>
      <c r="C53" s="225" t="s">
        <v>57</v>
      </c>
      <c r="D53" s="156" t="s">
        <v>58</v>
      </c>
      <c r="E53" s="156">
        <v>70100</v>
      </c>
      <c r="F53" s="156" t="s">
        <v>59</v>
      </c>
      <c r="G53" s="156" t="s">
        <v>32</v>
      </c>
      <c r="H53" s="156" t="s">
        <v>60</v>
      </c>
      <c r="I53" s="156" t="s">
        <v>34</v>
      </c>
      <c r="J53" s="318" t="s">
        <v>61</v>
      </c>
      <c r="K53" s="238" t="s">
        <v>62</v>
      </c>
      <c r="L53" s="326" t="s">
        <v>150</v>
      </c>
      <c r="M53" s="101" t="s">
        <v>1003</v>
      </c>
      <c r="N53" s="262" t="s">
        <v>63</v>
      </c>
      <c r="O53" s="174" t="e">
        <v>#N/A</v>
      </c>
    </row>
    <row r="54" spans="1:15" s="160" customFormat="1" ht="30">
      <c r="A54" s="161"/>
      <c r="B54" s="164">
        <v>96</v>
      </c>
      <c r="C54" s="225" t="s">
        <v>57</v>
      </c>
      <c r="D54" s="156" t="s">
        <v>64</v>
      </c>
      <c r="E54" s="156">
        <v>70300</v>
      </c>
      <c r="F54" s="156" t="s">
        <v>65</v>
      </c>
      <c r="G54" s="156" t="s">
        <v>32</v>
      </c>
      <c r="H54" s="156" t="s">
        <v>60</v>
      </c>
      <c r="I54" s="156" t="s">
        <v>34</v>
      </c>
      <c r="J54" s="317" t="s">
        <v>66</v>
      </c>
      <c r="K54" s="238" t="s">
        <v>67</v>
      </c>
      <c r="L54" s="551" t="s">
        <v>150</v>
      </c>
      <c r="M54" s="101" t="s">
        <v>68</v>
      </c>
      <c r="N54" s="149" t="s">
        <v>1090</v>
      </c>
      <c r="O54" s="174" t="e">
        <v>#N/A</v>
      </c>
    </row>
    <row r="55" spans="1:15" s="160" customFormat="1" ht="60">
      <c r="A55" s="161"/>
      <c r="B55" s="164">
        <v>103</v>
      </c>
      <c r="C55" s="664" t="s">
        <v>57</v>
      </c>
      <c r="D55" s="203" t="s">
        <v>146</v>
      </c>
      <c r="E55" s="203" t="s">
        <v>147</v>
      </c>
      <c r="F55" s="203" t="s">
        <v>148</v>
      </c>
      <c r="G55" s="203" t="s">
        <v>5</v>
      </c>
      <c r="H55" s="203" t="s">
        <v>60</v>
      </c>
      <c r="I55" s="203" t="s">
        <v>34</v>
      </c>
      <c r="J55" s="359" t="s">
        <v>149</v>
      </c>
      <c r="K55" s="240">
        <v>384767575</v>
      </c>
      <c r="L55" s="108" t="s">
        <v>150</v>
      </c>
      <c r="M55" s="204" t="s">
        <v>151</v>
      </c>
      <c r="N55" s="565" t="s">
        <v>975</v>
      </c>
      <c r="O55" s="174" t="e">
        <v>#N/A</v>
      </c>
    </row>
    <row r="56" spans="1:15" s="158" customFormat="1" ht="45">
      <c r="A56" s="159"/>
      <c r="B56" s="164">
        <v>89</v>
      </c>
      <c r="C56" s="573" t="s">
        <v>57</v>
      </c>
      <c r="D56" s="296" t="s">
        <v>970</v>
      </c>
      <c r="E56" s="296">
        <v>70100</v>
      </c>
      <c r="F56" s="296" t="s">
        <v>971</v>
      </c>
      <c r="G56" s="296" t="s">
        <v>202</v>
      </c>
      <c r="H56" s="295" t="s">
        <v>60</v>
      </c>
      <c r="I56" s="296" t="s">
        <v>34</v>
      </c>
      <c r="J56" s="305" t="s">
        <v>954</v>
      </c>
      <c r="K56" s="297" t="s">
        <v>972</v>
      </c>
      <c r="L56" s="305" t="s">
        <v>150</v>
      </c>
      <c r="M56" s="296" t="s">
        <v>973</v>
      </c>
      <c r="N56" s="300" t="s">
        <v>974</v>
      </c>
      <c r="O56" s="174" t="e">
        <v>#N/A</v>
      </c>
    </row>
    <row r="57" spans="1:15" s="158" customFormat="1" ht="75">
      <c r="A57" s="159"/>
      <c r="B57" s="164">
        <v>104</v>
      </c>
      <c r="C57" s="573" t="s">
        <v>57</v>
      </c>
      <c r="D57" s="295" t="s">
        <v>146</v>
      </c>
      <c r="E57" s="295" t="s">
        <v>147</v>
      </c>
      <c r="F57" s="295" t="s">
        <v>148</v>
      </c>
      <c r="G57" s="295" t="s">
        <v>202</v>
      </c>
      <c r="H57" s="295" t="s">
        <v>60</v>
      </c>
      <c r="I57" s="295" t="s">
        <v>34</v>
      </c>
      <c r="J57" s="305" t="s">
        <v>952</v>
      </c>
      <c r="K57" s="297" t="s">
        <v>67</v>
      </c>
      <c r="L57" s="305" t="s">
        <v>150</v>
      </c>
      <c r="M57" s="296" t="s">
        <v>968</v>
      </c>
      <c r="N57" s="303" t="s">
        <v>969</v>
      </c>
      <c r="O57" s="174" t="e">
        <v>#N/A</v>
      </c>
    </row>
    <row r="58" spans="1:15" ht="90">
      <c r="B58" s="164">
        <v>26</v>
      </c>
      <c r="C58" s="662" t="s">
        <v>49</v>
      </c>
      <c r="D58" s="127" t="s">
        <v>186</v>
      </c>
      <c r="E58" s="127" t="s">
        <v>187</v>
      </c>
      <c r="F58" s="127" t="s">
        <v>714</v>
      </c>
      <c r="G58" s="98" t="s">
        <v>712</v>
      </c>
      <c r="H58" s="127" t="s">
        <v>715</v>
      </c>
      <c r="I58" s="127" t="s">
        <v>34</v>
      </c>
      <c r="J58" s="340" t="s">
        <v>716</v>
      </c>
      <c r="K58" s="127" t="s">
        <v>717</v>
      </c>
      <c r="L58" s="340" t="s">
        <v>718</v>
      </c>
      <c r="M58" s="127" t="s">
        <v>254</v>
      </c>
      <c r="N58" s="585" t="s">
        <v>951</v>
      </c>
      <c r="O58" s="174" t="e">
        <v>#N/A</v>
      </c>
    </row>
    <row r="59" spans="1:15" ht="30">
      <c r="B59" s="164">
        <v>15</v>
      </c>
      <c r="C59" s="669" t="s">
        <v>49</v>
      </c>
      <c r="D59" s="339" t="s">
        <v>186</v>
      </c>
      <c r="E59" s="339">
        <v>21000</v>
      </c>
      <c r="F59" s="339" t="s">
        <v>1170</v>
      </c>
      <c r="G59" s="339" t="s">
        <v>1092</v>
      </c>
      <c r="H59" s="339" t="s">
        <v>1044</v>
      </c>
      <c r="I59" s="339" t="s">
        <v>34</v>
      </c>
      <c r="J59" s="560" t="s">
        <v>716</v>
      </c>
      <c r="K59" s="265" t="s">
        <v>1045</v>
      </c>
      <c r="L59" s="560" t="s">
        <v>718</v>
      </c>
      <c r="M59" s="339" t="s">
        <v>1046</v>
      </c>
      <c r="N59" s="339" t="s">
        <v>1047</v>
      </c>
      <c r="O59" s="193" t="e">
        <v>#N/A</v>
      </c>
    </row>
    <row r="60" spans="1:15" ht="30">
      <c r="B60" s="164">
        <v>232</v>
      </c>
      <c r="C60" s="662" t="s">
        <v>69</v>
      </c>
      <c r="D60" s="127" t="s">
        <v>377</v>
      </c>
      <c r="E60" s="127" t="s">
        <v>720</v>
      </c>
      <c r="F60" s="127" t="s">
        <v>721</v>
      </c>
      <c r="G60" s="98" t="s">
        <v>712</v>
      </c>
      <c r="H60" s="127" t="s">
        <v>722</v>
      </c>
      <c r="I60" s="127" t="s">
        <v>34</v>
      </c>
      <c r="J60" s="340" t="s">
        <v>723</v>
      </c>
      <c r="K60" s="127" t="s">
        <v>724</v>
      </c>
      <c r="L60" s="340" t="s">
        <v>725</v>
      </c>
      <c r="M60" s="258" t="s">
        <v>1091</v>
      </c>
      <c r="N60" s="399" t="s">
        <v>726</v>
      </c>
      <c r="O60" s="174" t="e">
        <v>#N/A</v>
      </c>
    </row>
    <row r="61" spans="1:15" ht="60">
      <c r="B61" s="164">
        <v>165</v>
      </c>
      <c r="C61" s="664" t="s">
        <v>29</v>
      </c>
      <c r="D61" s="203" t="s">
        <v>152</v>
      </c>
      <c r="E61" s="203" t="s">
        <v>95</v>
      </c>
      <c r="F61" s="203" t="s">
        <v>153</v>
      </c>
      <c r="G61" s="203" t="s">
        <v>5</v>
      </c>
      <c r="H61" s="203" t="s">
        <v>154</v>
      </c>
      <c r="I61" s="203" t="s">
        <v>34</v>
      </c>
      <c r="J61" s="359" t="s">
        <v>155</v>
      </c>
      <c r="K61" s="240" t="s">
        <v>156</v>
      </c>
      <c r="L61" s="108" t="s">
        <v>157</v>
      </c>
      <c r="M61" s="204" t="s">
        <v>158</v>
      </c>
      <c r="N61" s="282" t="s">
        <v>159</v>
      </c>
      <c r="O61" s="174" t="e">
        <v>#N/A</v>
      </c>
    </row>
    <row r="62" spans="1:15" ht="60">
      <c r="B62" s="164">
        <v>208</v>
      </c>
      <c r="C62" s="664" t="s">
        <v>69</v>
      </c>
      <c r="D62" s="203" t="s">
        <v>160</v>
      </c>
      <c r="E62" s="203" t="s">
        <v>161</v>
      </c>
      <c r="F62" s="203" t="s">
        <v>162</v>
      </c>
      <c r="G62" s="203" t="s">
        <v>5</v>
      </c>
      <c r="H62" s="203" t="s">
        <v>163</v>
      </c>
      <c r="I62" s="203" t="s">
        <v>34</v>
      </c>
      <c r="J62" s="359" t="s">
        <v>164</v>
      </c>
      <c r="K62" s="240" t="s">
        <v>165</v>
      </c>
      <c r="L62" s="108" t="s">
        <v>166</v>
      </c>
      <c r="M62" s="204" t="s">
        <v>167</v>
      </c>
      <c r="N62" s="282" t="s">
        <v>168</v>
      </c>
      <c r="O62" s="174" t="e">
        <v>#N/A</v>
      </c>
    </row>
    <row r="63" spans="1:15" ht="45">
      <c r="B63" s="164">
        <v>153</v>
      </c>
      <c r="C63" s="664" t="s">
        <v>76</v>
      </c>
      <c r="D63" s="203" t="s">
        <v>169</v>
      </c>
      <c r="E63" s="203" t="s">
        <v>78</v>
      </c>
      <c r="F63" s="203" t="s">
        <v>170</v>
      </c>
      <c r="G63" s="203" t="s">
        <v>5</v>
      </c>
      <c r="H63" s="203" t="s">
        <v>171</v>
      </c>
      <c r="I63" s="203" t="s">
        <v>34</v>
      </c>
      <c r="J63" s="359" t="s">
        <v>172</v>
      </c>
      <c r="K63" s="240" t="s">
        <v>173</v>
      </c>
      <c r="L63" s="108" t="s">
        <v>174</v>
      </c>
      <c r="M63" s="204" t="s">
        <v>175</v>
      </c>
      <c r="N63" s="282" t="s">
        <v>176</v>
      </c>
      <c r="O63" s="174" t="e">
        <v>#N/A</v>
      </c>
    </row>
    <row r="64" spans="1:15" ht="74.099999999999994" customHeight="1">
      <c r="B64" s="164">
        <v>66</v>
      </c>
      <c r="C64" s="664" t="s">
        <v>101</v>
      </c>
      <c r="D64" s="203" t="s">
        <v>182</v>
      </c>
      <c r="E64" s="203" t="s">
        <v>103</v>
      </c>
      <c r="F64" s="203" t="s">
        <v>183</v>
      </c>
      <c r="G64" s="203" t="s">
        <v>5</v>
      </c>
      <c r="H64" s="203" t="s">
        <v>179</v>
      </c>
      <c r="I64" s="203" t="s">
        <v>34</v>
      </c>
      <c r="J64" s="363" t="s">
        <v>980</v>
      </c>
      <c r="K64" s="240" t="s">
        <v>184</v>
      </c>
      <c r="L64" s="108" t="s">
        <v>106</v>
      </c>
      <c r="M64" s="204" t="s">
        <v>185</v>
      </c>
      <c r="N64" s="282" t="s">
        <v>1218</v>
      </c>
      <c r="O64" s="174" t="s">
        <v>814</v>
      </c>
    </row>
    <row r="65" spans="1:15" ht="60">
      <c r="B65" s="164">
        <v>203</v>
      </c>
      <c r="C65" s="664" t="s">
        <v>108</v>
      </c>
      <c r="D65" s="203" t="s">
        <v>177</v>
      </c>
      <c r="E65" s="203">
        <v>90000</v>
      </c>
      <c r="F65" s="203" t="s">
        <v>178</v>
      </c>
      <c r="G65" s="203" t="s">
        <v>5</v>
      </c>
      <c r="H65" s="203" t="s">
        <v>179</v>
      </c>
      <c r="I65" s="203" t="s">
        <v>34</v>
      </c>
      <c r="J65" s="363" t="s">
        <v>980</v>
      </c>
      <c r="K65" s="240" t="s">
        <v>180</v>
      </c>
      <c r="L65" s="108" t="s">
        <v>106</v>
      </c>
      <c r="M65" s="204" t="s">
        <v>181</v>
      </c>
      <c r="N65" s="282" t="s">
        <v>1221</v>
      </c>
      <c r="O65" s="174" t="e">
        <v>#N/A</v>
      </c>
    </row>
    <row r="66" spans="1:15" ht="135">
      <c r="B66" s="164">
        <v>16</v>
      </c>
      <c r="C66" s="664" t="s">
        <v>49</v>
      </c>
      <c r="D66" s="203" t="s">
        <v>186</v>
      </c>
      <c r="E66" s="203" t="s">
        <v>187</v>
      </c>
      <c r="F66" s="203" t="s">
        <v>188</v>
      </c>
      <c r="G66" s="203" t="s">
        <v>1225</v>
      </c>
      <c r="H66" s="203" t="s">
        <v>189</v>
      </c>
      <c r="I66" s="203" t="s">
        <v>34</v>
      </c>
      <c r="J66" s="359" t="s">
        <v>190</v>
      </c>
      <c r="K66" s="240" t="s">
        <v>191</v>
      </c>
      <c r="L66" s="108" t="s">
        <v>192</v>
      </c>
      <c r="M66" s="259" t="s">
        <v>1207</v>
      </c>
      <c r="N66" s="282" t="s">
        <v>193</v>
      </c>
      <c r="O66" s="174" t="e">
        <v>#N/A</v>
      </c>
    </row>
    <row r="67" spans="1:15" ht="135">
      <c r="B67" s="164">
        <v>128</v>
      </c>
      <c r="C67" s="664" t="s">
        <v>83</v>
      </c>
      <c r="D67" s="203" t="s">
        <v>194</v>
      </c>
      <c r="E67" s="203" t="s">
        <v>195</v>
      </c>
      <c r="F67" s="203" t="s">
        <v>1130</v>
      </c>
      <c r="G67" s="203" t="s">
        <v>1225</v>
      </c>
      <c r="H67" s="203" t="s">
        <v>197</v>
      </c>
      <c r="I67" s="203" t="s">
        <v>34</v>
      </c>
      <c r="J67" s="359" t="s">
        <v>118</v>
      </c>
      <c r="K67" s="240" t="s">
        <v>119</v>
      </c>
      <c r="L67" s="108" t="s">
        <v>1131</v>
      </c>
      <c r="M67" s="204" t="s">
        <v>1132</v>
      </c>
      <c r="N67" s="282" t="s">
        <v>1133</v>
      </c>
      <c r="O67" s="174" t="e">
        <v>#N/A</v>
      </c>
    </row>
    <row r="68" spans="1:15" ht="45">
      <c r="B68" s="164">
        <v>18</v>
      </c>
      <c r="C68" s="504" t="s">
        <v>49</v>
      </c>
      <c r="D68" s="111" t="s">
        <v>186</v>
      </c>
      <c r="E68" s="111" t="s">
        <v>187</v>
      </c>
      <c r="F68" s="111" t="s">
        <v>266</v>
      </c>
      <c r="G68" s="111" t="s">
        <v>7</v>
      </c>
      <c r="H68" s="111" t="s">
        <v>267</v>
      </c>
      <c r="I68" s="111" t="s">
        <v>224</v>
      </c>
      <c r="J68" s="311" t="s">
        <v>268</v>
      </c>
      <c r="K68" s="239" t="s">
        <v>269</v>
      </c>
      <c r="L68" s="311" t="s">
        <v>270</v>
      </c>
      <c r="M68" s="129" t="s">
        <v>271</v>
      </c>
      <c r="N68" s="129" t="s">
        <v>261</v>
      </c>
      <c r="O68" s="174" t="e">
        <v>#N/A</v>
      </c>
    </row>
    <row r="69" spans="1:15" s="137" customFormat="1" ht="30">
      <c r="A69" s="138"/>
      <c r="B69" s="164">
        <v>40</v>
      </c>
      <c r="C69" s="670" t="s">
        <v>49</v>
      </c>
      <c r="D69" s="216" t="s">
        <v>53</v>
      </c>
      <c r="E69" s="216">
        <v>21210</v>
      </c>
      <c r="F69" s="559" t="s">
        <v>374</v>
      </c>
      <c r="G69" s="216" t="s">
        <v>1086</v>
      </c>
      <c r="H69" s="558" t="s">
        <v>1020</v>
      </c>
      <c r="I69" s="558" t="s">
        <v>224</v>
      </c>
      <c r="J69" s="311" t="s">
        <v>367</v>
      </c>
      <c r="K69" s="239" t="s">
        <v>947</v>
      </c>
      <c r="L69" s="311" t="s">
        <v>368</v>
      </c>
      <c r="M69" s="246" t="s">
        <v>376</v>
      </c>
      <c r="N69" s="130" t="s">
        <v>370</v>
      </c>
      <c r="O69" s="174" t="e">
        <v>#N/A</v>
      </c>
    </row>
    <row r="70" spans="1:15" ht="30">
      <c r="B70" s="164">
        <v>37</v>
      </c>
      <c r="C70" s="504" t="s">
        <v>49</v>
      </c>
      <c r="D70" s="111" t="s">
        <v>125</v>
      </c>
      <c r="E70" s="111">
        <v>21500</v>
      </c>
      <c r="F70" s="111" t="s">
        <v>365</v>
      </c>
      <c r="G70" s="111" t="s">
        <v>1086</v>
      </c>
      <c r="H70" s="111" t="s">
        <v>366</v>
      </c>
      <c r="I70" s="111" t="s">
        <v>224</v>
      </c>
      <c r="J70" s="311" t="s">
        <v>367</v>
      </c>
      <c r="K70" s="239" t="s">
        <v>947</v>
      </c>
      <c r="L70" s="311" t="s">
        <v>368</v>
      </c>
      <c r="M70" s="129" t="s">
        <v>369</v>
      </c>
      <c r="N70" s="129" t="s">
        <v>370</v>
      </c>
      <c r="O70" s="164" t="e">
        <v>#N/A</v>
      </c>
    </row>
    <row r="71" spans="1:15" ht="30">
      <c r="B71" s="164">
        <v>42</v>
      </c>
      <c r="C71" s="504" t="s">
        <v>49</v>
      </c>
      <c r="D71" s="111" t="s">
        <v>371</v>
      </c>
      <c r="E71" s="111">
        <v>21140</v>
      </c>
      <c r="F71" s="111" t="s">
        <v>372</v>
      </c>
      <c r="G71" s="111" t="s">
        <v>1086</v>
      </c>
      <c r="H71" s="111" t="s">
        <v>1021</v>
      </c>
      <c r="I71" s="111" t="s">
        <v>224</v>
      </c>
      <c r="J71" s="311" t="s">
        <v>367</v>
      </c>
      <c r="K71" s="239" t="s">
        <v>947</v>
      </c>
      <c r="L71" s="311" t="s">
        <v>368</v>
      </c>
      <c r="M71" s="129" t="s">
        <v>1022</v>
      </c>
      <c r="N71" s="129" t="s">
        <v>285</v>
      </c>
      <c r="O71" s="174" t="e">
        <v>#N/A</v>
      </c>
    </row>
    <row r="72" spans="1:15" ht="45">
      <c r="B72" s="164">
        <v>148</v>
      </c>
      <c r="C72" s="407" t="s">
        <v>76</v>
      </c>
      <c r="D72" s="126" t="s">
        <v>272</v>
      </c>
      <c r="E72" s="126" t="s">
        <v>273</v>
      </c>
      <c r="F72" s="128" t="s">
        <v>591</v>
      </c>
      <c r="G72" s="128" t="s">
        <v>589</v>
      </c>
      <c r="H72" s="126" t="s">
        <v>275</v>
      </c>
      <c r="I72" s="126" t="s">
        <v>224</v>
      </c>
      <c r="J72" s="328" t="s">
        <v>1005</v>
      </c>
      <c r="K72" s="126" t="s">
        <v>277</v>
      </c>
      <c r="L72" s="328" t="s">
        <v>278</v>
      </c>
      <c r="M72" s="258" t="s">
        <v>1091</v>
      </c>
      <c r="N72" s="293" t="s">
        <v>592</v>
      </c>
      <c r="O72" s="174" t="e">
        <v>#N/A</v>
      </c>
    </row>
    <row r="73" spans="1:15" ht="30">
      <c r="B73" s="164">
        <v>146</v>
      </c>
      <c r="C73" s="504" t="s">
        <v>76</v>
      </c>
      <c r="D73" s="111" t="s">
        <v>272</v>
      </c>
      <c r="E73" s="111" t="s">
        <v>273</v>
      </c>
      <c r="F73" s="111" t="s">
        <v>274</v>
      </c>
      <c r="G73" s="111" t="s">
        <v>7</v>
      </c>
      <c r="H73" s="111" t="s">
        <v>275</v>
      </c>
      <c r="I73" s="111" t="s">
        <v>224</v>
      </c>
      <c r="J73" s="311" t="s">
        <v>1005</v>
      </c>
      <c r="K73" s="239" t="s">
        <v>277</v>
      </c>
      <c r="L73" s="311" t="s">
        <v>278</v>
      </c>
      <c r="M73" s="129" t="s">
        <v>279</v>
      </c>
      <c r="N73" s="129" t="s">
        <v>261</v>
      </c>
      <c r="O73" s="174" t="e">
        <v>#N/A</v>
      </c>
    </row>
    <row r="74" spans="1:15" ht="45">
      <c r="B74" s="164">
        <v>149</v>
      </c>
      <c r="C74" s="224" t="s">
        <v>76</v>
      </c>
      <c r="D74" s="96" t="s">
        <v>272</v>
      </c>
      <c r="E74" s="96">
        <v>58300</v>
      </c>
      <c r="F74" s="96" t="s">
        <v>667</v>
      </c>
      <c r="G74" s="96" t="s">
        <v>9</v>
      </c>
      <c r="H74" s="96" t="s">
        <v>275</v>
      </c>
      <c r="I74" s="96" t="s">
        <v>224</v>
      </c>
      <c r="J74" s="333" t="s">
        <v>276</v>
      </c>
      <c r="K74" s="96" t="s">
        <v>277</v>
      </c>
      <c r="L74" s="333" t="s">
        <v>278</v>
      </c>
      <c r="M74" s="258" t="s">
        <v>1091</v>
      </c>
      <c r="N74" s="291" t="s">
        <v>668</v>
      </c>
      <c r="O74" s="174" t="e">
        <v>#N/A</v>
      </c>
    </row>
    <row r="75" spans="1:15" ht="60">
      <c r="B75" s="164">
        <v>169</v>
      </c>
      <c r="C75" s="671" t="s">
        <v>29</v>
      </c>
      <c r="D75" s="210" t="s">
        <v>152</v>
      </c>
      <c r="E75" s="210" t="s">
        <v>95</v>
      </c>
      <c r="F75" s="128" t="s">
        <v>593</v>
      </c>
      <c r="G75" s="211" t="s">
        <v>589</v>
      </c>
      <c r="H75" s="210" t="s">
        <v>281</v>
      </c>
      <c r="I75" s="210" t="s">
        <v>224</v>
      </c>
      <c r="J75" s="327" t="s">
        <v>282</v>
      </c>
      <c r="K75" s="210" t="s">
        <v>594</v>
      </c>
      <c r="L75" s="315" t="s">
        <v>1091</v>
      </c>
      <c r="M75" s="257" t="s">
        <v>1091</v>
      </c>
      <c r="N75" s="274" t="s">
        <v>595</v>
      </c>
      <c r="O75" s="174" t="e">
        <v>#N/A</v>
      </c>
    </row>
    <row r="76" spans="1:15" ht="75">
      <c r="B76" s="164">
        <v>167</v>
      </c>
      <c r="C76" s="504" t="s">
        <v>29</v>
      </c>
      <c r="D76" s="111" t="s">
        <v>152</v>
      </c>
      <c r="E76" s="111" t="s">
        <v>95</v>
      </c>
      <c r="F76" s="111" t="s">
        <v>280</v>
      </c>
      <c r="G76" s="111" t="s">
        <v>7</v>
      </c>
      <c r="H76" s="111" t="s">
        <v>281</v>
      </c>
      <c r="I76" s="111" t="s">
        <v>224</v>
      </c>
      <c r="J76" s="311" t="s">
        <v>282</v>
      </c>
      <c r="K76" s="239" t="s">
        <v>283</v>
      </c>
      <c r="L76" s="314" t="s">
        <v>1091</v>
      </c>
      <c r="M76" s="129" t="s">
        <v>284</v>
      </c>
      <c r="N76" s="129" t="s">
        <v>285</v>
      </c>
      <c r="O76" s="174" t="e">
        <v>#N/A</v>
      </c>
    </row>
    <row r="77" spans="1:15" ht="60">
      <c r="B77" s="164">
        <v>215</v>
      </c>
      <c r="C77" s="407" t="s">
        <v>69</v>
      </c>
      <c r="D77" s="126" t="s">
        <v>160</v>
      </c>
      <c r="E77" s="126" t="s">
        <v>161</v>
      </c>
      <c r="F77" s="126" t="s">
        <v>596</v>
      </c>
      <c r="G77" s="128" t="s">
        <v>589</v>
      </c>
      <c r="H77" s="126" t="s">
        <v>287</v>
      </c>
      <c r="I77" s="126" t="s">
        <v>224</v>
      </c>
      <c r="J77" s="328" t="s">
        <v>288</v>
      </c>
      <c r="K77" s="126" t="s">
        <v>289</v>
      </c>
      <c r="L77" s="328" t="s">
        <v>290</v>
      </c>
      <c r="M77" s="258" t="s">
        <v>1091</v>
      </c>
      <c r="N77" s="293" t="s">
        <v>597</v>
      </c>
      <c r="O77" s="174" t="e">
        <v>#N/A</v>
      </c>
    </row>
    <row r="78" spans="1:15" ht="30">
      <c r="B78" s="164">
        <v>210</v>
      </c>
      <c r="C78" s="504" t="s">
        <v>69</v>
      </c>
      <c r="D78" s="111" t="s">
        <v>160</v>
      </c>
      <c r="E78" s="111" t="s">
        <v>161</v>
      </c>
      <c r="F78" s="111" t="s">
        <v>286</v>
      </c>
      <c r="G78" s="111" t="s">
        <v>7</v>
      </c>
      <c r="H78" s="111" t="s">
        <v>287</v>
      </c>
      <c r="I78" s="111" t="s">
        <v>224</v>
      </c>
      <c r="J78" s="311" t="s">
        <v>288</v>
      </c>
      <c r="K78" s="239" t="s">
        <v>289</v>
      </c>
      <c r="L78" s="311" t="s">
        <v>290</v>
      </c>
      <c r="M78" s="129" t="s">
        <v>291</v>
      </c>
      <c r="N78" s="129" t="s">
        <v>285</v>
      </c>
      <c r="O78" s="174" t="e">
        <v>#N/A</v>
      </c>
    </row>
    <row r="79" spans="1:15" ht="45">
      <c r="B79" s="164">
        <v>217</v>
      </c>
      <c r="C79" s="672" t="s">
        <v>69</v>
      </c>
      <c r="D79" s="228" t="s">
        <v>160</v>
      </c>
      <c r="E79" s="228" t="s">
        <v>161</v>
      </c>
      <c r="F79" s="228" t="s">
        <v>669</v>
      </c>
      <c r="G79" s="228" t="s">
        <v>9</v>
      </c>
      <c r="H79" s="228" t="s">
        <v>287</v>
      </c>
      <c r="I79" s="228" t="s">
        <v>224</v>
      </c>
      <c r="J79" s="335" t="s">
        <v>288</v>
      </c>
      <c r="K79" s="228" t="s">
        <v>289</v>
      </c>
      <c r="L79" s="333" t="s">
        <v>290</v>
      </c>
      <c r="M79" s="258" t="s">
        <v>1091</v>
      </c>
      <c r="N79" s="294" t="s">
        <v>670</v>
      </c>
      <c r="O79" s="174" t="e">
        <v>#N/A</v>
      </c>
    </row>
    <row r="80" spans="1:15" ht="45">
      <c r="B80" s="164">
        <v>221</v>
      </c>
      <c r="C80" s="673" t="s">
        <v>69</v>
      </c>
      <c r="D80" s="230" t="s">
        <v>160</v>
      </c>
      <c r="E80" s="230" t="s">
        <v>161</v>
      </c>
      <c r="F80" s="230" t="s">
        <v>759</v>
      </c>
      <c r="G80" s="230" t="s">
        <v>12</v>
      </c>
      <c r="H80" s="231" t="s">
        <v>287</v>
      </c>
      <c r="I80" s="230" t="s">
        <v>224</v>
      </c>
      <c r="J80" s="362" t="s">
        <v>288</v>
      </c>
      <c r="K80" s="230" t="s">
        <v>289</v>
      </c>
      <c r="L80" s="100" t="s">
        <v>290</v>
      </c>
      <c r="M80" s="258" t="s">
        <v>1091</v>
      </c>
      <c r="N80" s="286" t="s">
        <v>760</v>
      </c>
      <c r="O80" s="174" t="e">
        <v>#N/A</v>
      </c>
    </row>
    <row r="81" spans="1:15" ht="45">
      <c r="B81" s="164">
        <v>227</v>
      </c>
      <c r="C81" s="407" t="s">
        <v>69</v>
      </c>
      <c r="D81" s="126" t="s">
        <v>292</v>
      </c>
      <c r="E81" s="126" t="s">
        <v>293</v>
      </c>
      <c r="F81" s="128" t="s">
        <v>598</v>
      </c>
      <c r="G81" s="128" t="s">
        <v>589</v>
      </c>
      <c r="H81" s="126" t="s">
        <v>599</v>
      </c>
      <c r="I81" s="126" t="s">
        <v>224</v>
      </c>
      <c r="J81" s="328" t="s">
        <v>296</v>
      </c>
      <c r="K81" s="126" t="s">
        <v>600</v>
      </c>
      <c r="L81" s="314" t="s">
        <v>1091</v>
      </c>
      <c r="M81" s="258" t="s">
        <v>1091</v>
      </c>
      <c r="N81" s="274" t="s">
        <v>601</v>
      </c>
      <c r="O81" s="174" t="e">
        <v>#N/A</v>
      </c>
    </row>
    <row r="82" spans="1:15" ht="60">
      <c r="B82" s="164">
        <v>226</v>
      </c>
      <c r="C82" s="504" t="s">
        <v>69</v>
      </c>
      <c r="D82" s="111" t="s">
        <v>292</v>
      </c>
      <c r="E82" s="111" t="s">
        <v>293</v>
      </c>
      <c r="F82" s="111" t="s">
        <v>294</v>
      </c>
      <c r="G82" s="111" t="s">
        <v>7</v>
      </c>
      <c r="H82" s="111" t="s">
        <v>295</v>
      </c>
      <c r="I82" s="111" t="s">
        <v>224</v>
      </c>
      <c r="J82" s="311" t="s">
        <v>296</v>
      </c>
      <c r="K82" s="239" t="s">
        <v>297</v>
      </c>
      <c r="L82" s="314" t="s">
        <v>1091</v>
      </c>
      <c r="M82" s="129" t="s">
        <v>298</v>
      </c>
      <c r="N82" s="130" t="s">
        <v>285</v>
      </c>
      <c r="O82" s="174" t="e">
        <v>#N/A</v>
      </c>
    </row>
    <row r="83" spans="1:15" ht="30">
      <c r="B83" s="164">
        <v>229</v>
      </c>
      <c r="C83" s="504" t="s">
        <v>69</v>
      </c>
      <c r="D83" s="111" t="s">
        <v>377</v>
      </c>
      <c r="E83" s="111">
        <v>89400</v>
      </c>
      <c r="F83" s="111" t="s">
        <v>378</v>
      </c>
      <c r="G83" s="111" t="s">
        <v>1086</v>
      </c>
      <c r="H83" s="111" t="s">
        <v>295</v>
      </c>
      <c r="I83" s="111" t="s">
        <v>224</v>
      </c>
      <c r="J83" s="311" t="s">
        <v>296</v>
      </c>
      <c r="K83" s="239" t="s">
        <v>297</v>
      </c>
      <c r="L83" s="314" t="s">
        <v>1091</v>
      </c>
      <c r="M83" s="129" t="s">
        <v>379</v>
      </c>
      <c r="N83" s="130" t="s">
        <v>380</v>
      </c>
      <c r="O83" s="174" t="e">
        <v>#N/A</v>
      </c>
    </row>
    <row r="84" spans="1:15" ht="45">
      <c r="B84" s="164">
        <v>228</v>
      </c>
      <c r="C84" s="224" t="s">
        <v>69</v>
      </c>
      <c r="D84" s="96" t="s">
        <v>292</v>
      </c>
      <c r="E84" s="96" t="s">
        <v>293</v>
      </c>
      <c r="F84" s="96" t="s">
        <v>671</v>
      </c>
      <c r="G84" s="96" t="s">
        <v>9</v>
      </c>
      <c r="H84" s="96" t="s">
        <v>599</v>
      </c>
      <c r="I84" s="96" t="s">
        <v>224</v>
      </c>
      <c r="J84" s="333" t="s">
        <v>296</v>
      </c>
      <c r="K84" s="96" t="s">
        <v>476</v>
      </c>
      <c r="L84" s="314" t="s">
        <v>1091</v>
      </c>
      <c r="M84" s="258" t="s">
        <v>1091</v>
      </c>
      <c r="N84" s="275" t="s">
        <v>672</v>
      </c>
      <c r="O84" s="174" t="e">
        <v>#N/A</v>
      </c>
    </row>
    <row r="85" spans="1:15" ht="90">
      <c r="B85" s="164">
        <v>157</v>
      </c>
      <c r="C85" s="407" t="s">
        <v>76</v>
      </c>
      <c r="D85" s="126" t="s">
        <v>169</v>
      </c>
      <c r="E85" s="126" t="s">
        <v>78</v>
      </c>
      <c r="F85" s="126" t="s">
        <v>602</v>
      </c>
      <c r="G85" s="128" t="s">
        <v>589</v>
      </c>
      <c r="H85" s="126" t="s">
        <v>300</v>
      </c>
      <c r="I85" s="126" t="s">
        <v>224</v>
      </c>
      <c r="J85" s="328" t="s">
        <v>1006</v>
      </c>
      <c r="K85" s="126" t="s">
        <v>302</v>
      </c>
      <c r="L85" s="328" t="s">
        <v>278</v>
      </c>
      <c r="M85" s="258" t="s">
        <v>1091</v>
      </c>
      <c r="N85" s="564" t="s">
        <v>1212</v>
      </c>
      <c r="O85" s="174" t="e">
        <v>#N/A</v>
      </c>
    </row>
    <row r="86" spans="1:15" ht="30">
      <c r="B86" s="164">
        <v>155</v>
      </c>
      <c r="C86" s="504" t="s">
        <v>76</v>
      </c>
      <c r="D86" s="111" t="s">
        <v>169</v>
      </c>
      <c r="E86" s="111" t="s">
        <v>78</v>
      </c>
      <c r="F86" s="111" t="s">
        <v>299</v>
      </c>
      <c r="G86" s="111" t="s">
        <v>7</v>
      </c>
      <c r="H86" s="111" t="s">
        <v>300</v>
      </c>
      <c r="I86" s="111" t="s">
        <v>224</v>
      </c>
      <c r="J86" s="311" t="s">
        <v>1006</v>
      </c>
      <c r="K86" s="239" t="s">
        <v>302</v>
      </c>
      <c r="L86" s="311" t="s">
        <v>278</v>
      </c>
      <c r="M86" s="129" t="s">
        <v>1007</v>
      </c>
      <c r="N86" s="130" t="s">
        <v>304</v>
      </c>
      <c r="O86" s="174" t="e">
        <v>#N/A</v>
      </c>
    </row>
    <row r="87" spans="1:15" ht="30">
      <c r="B87" s="164">
        <v>158</v>
      </c>
      <c r="C87" s="672" t="s">
        <v>76</v>
      </c>
      <c r="D87" s="228" t="s">
        <v>169</v>
      </c>
      <c r="E87" s="228" t="s">
        <v>78</v>
      </c>
      <c r="F87" s="96" t="s">
        <v>299</v>
      </c>
      <c r="G87" s="228" t="s">
        <v>9</v>
      </c>
      <c r="H87" s="228" t="s">
        <v>300</v>
      </c>
      <c r="I87" s="228" t="s">
        <v>224</v>
      </c>
      <c r="J87" s="335" t="s">
        <v>1006</v>
      </c>
      <c r="K87" s="228" t="s">
        <v>302</v>
      </c>
      <c r="L87" s="338" t="s">
        <v>278</v>
      </c>
      <c r="M87" s="266" t="s">
        <v>278</v>
      </c>
      <c r="N87" s="275" t="s">
        <v>673</v>
      </c>
      <c r="O87" s="174" t="e">
        <v>#N/A</v>
      </c>
    </row>
    <row r="88" spans="1:15" ht="60">
      <c r="B88" s="164">
        <v>133</v>
      </c>
      <c r="C88" s="407" t="s">
        <v>83</v>
      </c>
      <c r="D88" s="126" t="s">
        <v>194</v>
      </c>
      <c r="E88" s="126" t="s">
        <v>195</v>
      </c>
      <c r="F88" s="126" t="s">
        <v>604</v>
      </c>
      <c r="G88" s="211" t="s">
        <v>589</v>
      </c>
      <c r="H88" s="126" t="s">
        <v>305</v>
      </c>
      <c r="I88" s="126" t="s">
        <v>224</v>
      </c>
      <c r="J88" s="328" t="s">
        <v>306</v>
      </c>
      <c r="K88" s="126" t="s">
        <v>605</v>
      </c>
      <c r="L88" s="328" t="s">
        <v>308</v>
      </c>
      <c r="M88" s="258" t="s">
        <v>1090</v>
      </c>
      <c r="N88" s="274" t="s">
        <v>606</v>
      </c>
      <c r="O88" s="174" t="e">
        <v>#N/A</v>
      </c>
    </row>
    <row r="89" spans="1:15" ht="30">
      <c r="B89" s="164">
        <v>130</v>
      </c>
      <c r="C89" s="674" t="s">
        <v>83</v>
      </c>
      <c r="D89" s="213" t="s">
        <v>194</v>
      </c>
      <c r="E89" s="213" t="s">
        <v>195</v>
      </c>
      <c r="F89" s="213" t="s">
        <v>996</v>
      </c>
      <c r="G89" s="213" t="s">
        <v>7</v>
      </c>
      <c r="H89" s="213" t="s">
        <v>305</v>
      </c>
      <c r="I89" s="213" t="s">
        <v>224</v>
      </c>
      <c r="J89" s="312" t="s">
        <v>306</v>
      </c>
      <c r="K89" s="242" t="s">
        <v>307</v>
      </c>
      <c r="L89" s="312" t="s">
        <v>308</v>
      </c>
      <c r="M89" s="246" t="s">
        <v>309</v>
      </c>
      <c r="N89" s="130" t="s">
        <v>285</v>
      </c>
      <c r="O89" s="174" t="e">
        <v>#N/A</v>
      </c>
    </row>
    <row r="90" spans="1:15" ht="60">
      <c r="A90" s="134"/>
      <c r="B90" s="164">
        <v>134</v>
      </c>
      <c r="C90" s="224" t="s">
        <v>83</v>
      </c>
      <c r="D90" s="96" t="s">
        <v>194</v>
      </c>
      <c r="E90" s="96" t="s">
        <v>195</v>
      </c>
      <c r="F90" s="96" t="s">
        <v>674</v>
      </c>
      <c r="G90" s="96" t="s">
        <v>9</v>
      </c>
      <c r="H90" s="96" t="s">
        <v>305</v>
      </c>
      <c r="I90" s="96" t="s">
        <v>224</v>
      </c>
      <c r="J90" s="335" t="s">
        <v>306</v>
      </c>
      <c r="K90" s="228" t="s">
        <v>675</v>
      </c>
      <c r="L90" s="333" t="s">
        <v>308</v>
      </c>
      <c r="M90" s="257" t="s">
        <v>1091</v>
      </c>
      <c r="N90" s="288" t="s">
        <v>676</v>
      </c>
      <c r="O90" s="174" t="e">
        <v>#N/A</v>
      </c>
    </row>
    <row r="91" spans="1:15" ht="45">
      <c r="B91" s="164">
        <v>135</v>
      </c>
      <c r="C91" s="570" t="s">
        <v>83</v>
      </c>
      <c r="D91" s="222" t="s">
        <v>194</v>
      </c>
      <c r="E91" s="222" t="s">
        <v>195</v>
      </c>
      <c r="F91" s="222" t="s">
        <v>761</v>
      </c>
      <c r="G91" s="222" t="s">
        <v>12</v>
      </c>
      <c r="H91" s="223" t="s">
        <v>305</v>
      </c>
      <c r="I91" s="222" t="s">
        <v>224</v>
      </c>
      <c r="J91" s="360" t="s">
        <v>306</v>
      </c>
      <c r="K91" s="222" t="s">
        <v>762</v>
      </c>
      <c r="L91" s="99" t="s">
        <v>308</v>
      </c>
      <c r="M91" s="258" t="s">
        <v>1091</v>
      </c>
      <c r="N91" s="582" t="s">
        <v>760</v>
      </c>
      <c r="O91" s="174" t="e">
        <v>#N/A</v>
      </c>
    </row>
    <row r="92" spans="1:15" ht="90">
      <c r="B92" s="164">
        <v>186</v>
      </c>
      <c r="C92" s="407" t="s">
        <v>29</v>
      </c>
      <c r="D92" s="126" t="s">
        <v>41</v>
      </c>
      <c r="E92" s="126" t="s">
        <v>310</v>
      </c>
      <c r="F92" s="126" t="s">
        <v>311</v>
      </c>
      <c r="G92" s="128" t="s">
        <v>589</v>
      </c>
      <c r="H92" s="128" t="s">
        <v>312</v>
      </c>
      <c r="I92" s="126" t="s">
        <v>224</v>
      </c>
      <c r="J92" s="328" t="s">
        <v>1216</v>
      </c>
      <c r="K92" s="126" t="s">
        <v>314</v>
      </c>
      <c r="L92" s="315" t="s">
        <v>1091</v>
      </c>
      <c r="M92" s="314" t="s">
        <v>1091</v>
      </c>
      <c r="N92" s="293" t="s">
        <v>607</v>
      </c>
      <c r="O92" s="174" t="e">
        <v>#N/A</v>
      </c>
    </row>
    <row r="93" spans="1:15" ht="30">
      <c r="B93" s="164">
        <v>184</v>
      </c>
      <c r="C93" s="670" t="s">
        <v>29</v>
      </c>
      <c r="D93" s="216" t="s">
        <v>41</v>
      </c>
      <c r="E93" s="216" t="s">
        <v>310</v>
      </c>
      <c r="F93" s="216" t="s">
        <v>311</v>
      </c>
      <c r="G93" s="216" t="s">
        <v>7</v>
      </c>
      <c r="H93" s="216" t="s">
        <v>312</v>
      </c>
      <c r="I93" s="216" t="s">
        <v>224</v>
      </c>
      <c r="J93" s="476" t="s">
        <v>313</v>
      </c>
      <c r="K93" s="477" t="s">
        <v>314</v>
      </c>
      <c r="L93" s="562" t="s">
        <v>1091</v>
      </c>
      <c r="M93" s="130" t="s">
        <v>315</v>
      </c>
      <c r="N93" s="130" t="s">
        <v>285</v>
      </c>
      <c r="O93" s="174" t="e">
        <v>#N/A</v>
      </c>
    </row>
    <row r="94" spans="1:15" ht="45">
      <c r="B94" s="164">
        <v>238</v>
      </c>
      <c r="C94" s="407" t="s">
        <v>69</v>
      </c>
      <c r="D94" s="126" t="s">
        <v>70</v>
      </c>
      <c r="E94" s="126" t="s">
        <v>316</v>
      </c>
      <c r="F94" s="126" t="s">
        <v>608</v>
      </c>
      <c r="G94" s="128" t="s">
        <v>589</v>
      </c>
      <c r="H94" s="126" t="s">
        <v>318</v>
      </c>
      <c r="I94" s="126" t="s">
        <v>224</v>
      </c>
      <c r="J94" s="328" t="s">
        <v>945</v>
      </c>
      <c r="K94" s="126" t="s">
        <v>320</v>
      </c>
      <c r="L94" s="327" t="s">
        <v>321</v>
      </c>
      <c r="M94" s="258" t="s">
        <v>1091</v>
      </c>
      <c r="N94" s="293" t="s">
        <v>609</v>
      </c>
      <c r="O94" s="174" t="e">
        <v>#N/A</v>
      </c>
    </row>
    <row r="95" spans="1:15" ht="45">
      <c r="B95" s="164">
        <v>234</v>
      </c>
      <c r="C95" s="504" t="s">
        <v>69</v>
      </c>
      <c r="D95" s="111" t="s">
        <v>70</v>
      </c>
      <c r="E95" s="111" t="s">
        <v>316</v>
      </c>
      <c r="F95" s="111" t="s">
        <v>317</v>
      </c>
      <c r="G95" s="111" t="s">
        <v>7</v>
      </c>
      <c r="H95" s="111" t="s">
        <v>318</v>
      </c>
      <c r="I95" s="111" t="s">
        <v>224</v>
      </c>
      <c r="J95" s="311" t="s">
        <v>944</v>
      </c>
      <c r="K95" s="239" t="s">
        <v>320</v>
      </c>
      <c r="L95" s="312" t="s">
        <v>321</v>
      </c>
      <c r="M95" s="129" t="s">
        <v>1206</v>
      </c>
      <c r="N95" s="129" t="s">
        <v>285</v>
      </c>
      <c r="O95" s="174" t="e">
        <v>#N/A</v>
      </c>
    </row>
    <row r="96" spans="1:15" ht="60">
      <c r="B96" s="164">
        <v>239</v>
      </c>
      <c r="C96" s="224" t="s">
        <v>69</v>
      </c>
      <c r="D96" s="96" t="s">
        <v>70</v>
      </c>
      <c r="E96" s="96" t="s">
        <v>316</v>
      </c>
      <c r="F96" s="96" t="s">
        <v>1190</v>
      </c>
      <c r="G96" s="96" t="s">
        <v>9</v>
      </c>
      <c r="H96" s="96" t="s">
        <v>318</v>
      </c>
      <c r="I96" s="96" t="s">
        <v>224</v>
      </c>
      <c r="J96" s="333" t="s">
        <v>946</v>
      </c>
      <c r="K96" s="96" t="s">
        <v>320</v>
      </c>
      <c r="L96" s="335" t="s">
        <v>321</v>
      </c>
      <c r="M96" s="258" t="s">
        <v>1091</v>
      </c>
      <c r="N96" s="291" t="s">
        <v>677</v>
      </c>
      <c r="O96" s="174" t="e">
        <v>#N/A</v>
      </c>
    </row>
    <row r="97" spans="1:15" ht="120">
      <c r="B97" s="164">
        <v>257</v>
      </c>
      <c r="C97" s="675" t="s">
        <v>29</v>
      </c>
      <c r="D97" s="330" t="s">
        <v>199</v>
      </c>
      <c r="E97" s="330" t="s">
        <v>200</v>
      </c>
      <c r="F97" s="330" t="s">
        <v>322</v>
      </c>
      <c r="G97" s="330" t="s">
        <v>1215</v>
      </c>
      <c r="H97" s="330" t="s">
        <v>323</v>
      </c>
      <c r="I97" s="330" t="s">
        <v>224</v>
      </c>
      <c r="J97" s="316" t="s">
        <v>1244</v>
      </c>
      <c r="K97" s="253" t="s">
        <v>1242</v>
      </c>
      <c r="L97" s="329" t="s">
        <v>1243</v>
      </c>
      <c r="M97" s="331" t="s">
        <v>1169</v>
      </c>
      <c r="N97" s="229" t="s">
        <v>1241</v>
      </c>
      <c r="O97" s="174"/>
    </row>
    <row r="98" spans="1:15" ht="105">
      <c r="B98" s="164">
        <v>256</v>
      </c>
      <c r="C98" s="676" t="s">
        <v>29</v>
      </c>
      <c r="D98" s="538" t="s">
        <v>199</v>
      </c>
      <c r="E98" s="538" t="s">
        <v>200</v>
      </c>
      <c r="F98" s="538" t="s">
        <v>322</v>
      </c>
      <c r="G98" s="538" t="s">
        <v>7</v>
      </c>
      <c r="H98" s="538" t="s">
        <v>323</v>
      </c>
      <c r="I98" s="538" t="s">
        <v>224</v>
      </c>
      <c r="J98" s="313" t="s">
        <v>1235</v>
      </c>
      <c r="K98" s="252" t="s">
        <v>1232</v>
      </c>
      <c r="L98" s="252" t="s">
        <v>1233</v>
      </c>
      <c r="M98" s="552" t="s">
        <v>1234</v>
      </c>
      <c r="N98" s="267" t="s">
        <v>1214</v>
      </c>
      <c r="O98" s="174"/>
    </row>
    <row r="99" spans="1:15" ht="60">
      <c r="B99" s="164">
        <v>180</v>
      </c>
      <c r="C99" s="677" t="s">
        <v>29</v>
      </c>
      <c r="D99" s="543" t="s">
        <v>199</v>
      </c>
      <c r="E99" s="543" t="s">
        <v>200</v>
      </c>
      <c r="F99" s="543" t="s">
        <v>678</v>
      </c>
      <c r="G99" s="544" t="s">
        <v>734</v>
      </c>
      <c r="H99" s="543" t="s">
        <v>323</v>
      </c>
      <c r="I99" s="543" t="s">
        <v>224</v>
      </c>
      <c r="J99" s="348" t="s">
        <v>1019</v>
      </c>
      <c r="K99" s="254" t="s">
        <v>610</v>
      </c>
      <c r="L99" s="348" t="s">
        <v>1168</v>
      </c>
      <c r="M99" s="268" t="s">
        <v>1091</v>
      </c>
      <c r="N99" s="548" t="s">
        <v>735</v>
      </c>
      <c r="O99" s="174" t="e">
        <v>#N/A</v>
      </c>
    </row>
    <row r="100" spans="1:15" ht="60">
      <c r="B100" s="164">
        <v>181</v>
      </c>
      <c r="C100" s="678" t="s">
        <v>29</v>
      </c>
      <c r="D100" s="352" t="s">
        <v>199</v>
      </c>
      <c r="E100" s="352" t="s">
        <v>200</v>
      </c>
      <c r="F100" s="352" t="s">
        <v>745</v>
      </c>
      <c r="G100" s="353" t="s">
        <v>11</v>
      </c>
      <c r="H100" s="352" t="s">
        <v>323</v>
      </c>
      <c r="I100" s="352" t="s">
        <v>224</v>
      </c>
      <c r="J100" s="546" t="s">
        <v>1019</v>
      </c>
      <c r="K100" s="547" t="s">
        <v>610</v>
      </c>
      <c r="L100" s="546" t="s">
        <v>1168</v>
      </c>
      <c r="M100" s="354" t="s">
        <v>746</v>
      </c>
      <c r="N100" s="550" t="s">
        <v>747</v>
      </c>
      <c r="O100" s="174" t="e">
        <v>#N/A</v>
      </c>
    </row>
    <row r="101" spans="1:15" s="154" customFormat="1" ht="75">
      <c r="A101" s="155"/>
      <c r="B101" s="164">
        <v>122</v>
      </c>
      <c r="C101" s="504" t="s">
        <v>83</v>
      </c>
      <c r="D101" s="111" t="s">
        <v>221</v>
      </c>
      <c r="E101" s="111" t="s">
        <v>222</v>
      </c>
      <c r="F101" s="111" t="s">
        <v>326</v>
      </c>
      <c r="G101" s="111" t="s">
        <v>7</v>
      </c>
      <c r="H101" s="111" t="s">
        <v>327</v>
      </c>
      <c r="I101" s="111" t="s">
        <v>224</v>
      </c>
      <c r="J101" s="311" t="s">
        <v>1157</v>
      </c>
      <c r="K101" s="239" t="s">
        <v>329</v>
      </c>
      <c r="L101" s="311" t="s">
        <v>330</v>
      </c>
      <c r="M101" s="246" t="s">
        <v>995</v>
      </c>
      <c r="N101" s="130" t="s">
        <v>304</v>
      </c>
      <c r="O101" s="174" t="e">
        <v>#N/A</v>
      </c>
    </row>
    <row r="102" spans="1:15" s="144" customFormat="1" ht="45">
      <c r="A102" s="145"/>
      <c r="B102" s="164">
        <v>125</v>
      </c>
      <c r="C102" s="224" t="s">
        <v>83</v>
      </c>
      <c r="D102" s="96" t="s">
        <v>221</v>
      </c>
      <c r="E102" s="96" t="s">
        <v>222</v>
      </c>
      <c r="F102" s="96" t="s">
        <v>680</v>
      </c>
      <c r="G102" s="96" t="s">
        <v>9</v>
      </c>
      <c r="H102" s="96" t="s">
        <v>681</v>
      </c>
      <c r="I102" s="96" t="s">
        <v>224</v>
      </c>
      <c r="J102" s="333" t="s">
        <v>328</v>
      </c>
      <c r="K102" s="96" t="s">
        <v>682</v>
      </c>
      <c r="L102" s="333" t="s">
        <v>330</v>
      </c>
      <c r="M102" s="258" t="s">
        <v>1090</v>
      </c>
      <c r="N102" s="275" t="s">
        <v>683</v>
      </c>
      <c r="O102" s="174" t="e">
        <v>#N/A</v>
      </c>
    </row>
    <row r="103" spans="1:15" s="150" customFormat="1" ht="30">
      <c r="A103" s="151"/>
      <c r="B103" s="164">
        <v>43</v>
      </c>
      <c r="C103" s="407" t="s">
        <v>49</v>
      </c>
      <c r="D103" s="126" t="s">
        <v>371</v>
      </c>
      <c r="E103" s="126" t="s">
        <v>612</v>
      </c>
      <c r="F103" s="128" t="s">
        <v>1087</v>
      </c>
      <c r="G103" s="128" t="s">
        <v>589</v>
      </c>
      <c r="H103" s="126" t="s">
        <v>613</v>
      </c>
      <c r="I103" s="126" t="s">
        <v>224</v>
      </c>
      <c r="J103" s="328" t="s">
        <v>367</v>
      </c>
      <c r="K103" s="210" t="s">
        <v>947</v>
      </c>
      <c r="L103" s="328" t="s">
        <v>368</v>
      </c>
      <c r="M103" s="257" t="s">
        <v>1090</v>
      </c>
      <c r="N103" s="274" t="s">
        <v>615</v>
      </c>
      <c r="O103" s="174" t="e">
        <v>#N/A</v>
      </c>
    </row>
    <row r="104" spans="1:15" ht="60">
      <c r="B104" s="164">
        <v>44</v>
      </c>
      <c r="C104" s="224" t="s">
        <v>49</v>
      </c>
      <c r="D104" s="96" t="s">
        <v>371</v>
      </c>
      <c r="E104" s="96" t="s">
        <v>612</v>
      </c>
      <c r="F104" s="96" t="s">
        <v>1023</v>
      </c>
      <c r="G104" s="96" t="s">
        <v>9</v>
      </c>
      <c r="H104" s="96" t="s">
        <v>613</v>
      </c>
      <c r="I104" s="96" t="s">
        <v>224</v>
      </c>
      <c r="J104" s="333" t="s">
        <v>367</v>
      </c>
      <c r="K104" s="228" t="s">
        <v>947</v>
      </c>
      <c r="L104" s="333" t="s">
        <v>368</v>
      </c>
      <c r="M104" s="257" t="s">
        <v>1090</v>
      </c>
      <c r="N104" s="275" t="s">
        <v>685</v>
      </c>
      <c r="O104" s="174" t="e">
        <v>#N/A</v>
      </c>
    </row>
    <row r="105" spans="1:15" ht="60">
      <c r="B105" s="164">
        <v>45</v>
      </c>
      <c r="C105" s="679" t="s">
        <v>49</v>
      </c>
      <c r="D105" s="214" t="s">
        <v>371</v>
      </c>
      <c r="E105" s="214" t="s">
        <v>612</v>
      </c>
      <c r="F105" s="214" t="s">
        <v>948</v>
      </c>
      <c r="G105" s="215" t="s">
        <v>11</v>
      </c>
      <c r="H105" s="214" t="s">
        <v>613</v>
      </c>
      <c r="I105" s="214" t="s">
        <v>224</v>
      </c>
      <c r="J105" s="356" t="s">
        <v>367</v>
      </c>
      <c r="K105" s="249" t="s">
        <v>949</v>
      </c>
      <c r="L105" s="356" t="s">
        <v>748</v>
      </c>
      <c r="M105" s="249" t="s">
        <v>950</v>
      </c>
      <c r="N105" s="281" t="s">
        <v>747</v>
      </c>
      <c r="O105" s="174" t="e">
        <v>#N/A</v>
      </c>
    </row>
    <row r="106" spans="1:15" ht="240">
      <c r="B106" s="164">
        <v>61</v>
      </c>
      <c r="C106" s="679" t="s">
        <v>101</v>
      </c>
      <c r="D106" s="249" t="s">
        <v>137</v>
      </c>
      <c r="E106" s="249">
        <v>25000</v>
      </c>
      <c r="F106" s="214" t="s">
        <v>978</v>
      </c>
      <c r="G106" s="249" t="s">
        <v>11</v>
      </c>
      <c r="H106" s="249" t="s">
        <v>976</v>
      </c>
      <c r="I106" s="249" t="s">
        <v>224</v>
      </c>
      <c r="J106" s="356" t="s">
        <v>1184</v>
      </c>
      <c r="K106" s="249" t="s">
        <v>1185</v>
      </c>
      <c r="L106" s="380" t="s">
        <v>1186</v>
      </c>
      <c r="M106" s="351" t="s">
        <v>1187</v>
      </c>
      <c r="N106" s="358" t="s">
        <v>1188</v>
      </c>
      <c r="O106" s="174" t="e">
        <v>#N/A</v>
      </c>
    </row>
    <row r="107" spans="1:15" ht="45">
      <c r="B107" s="164">
        <v>162</v>
      </c>
      <c r="C107" s="407" t="s">
        <v>29</v>
      </c>
      <c r="D107" s="210" t="s">
        <v>30</v>
      </c>
      <c r="E107" s="210" t="s">
        <v>331</v>
      </c>
      <c r="F107" s="126" t="s">
        <v>616</v>
      </c>
      <c r="G107" s="211" t="s">
        <v>589</v>
      </c>
      <c r="H107" s="210" t="s">
        <v>333</v>
      </c>
      <c r="I107" s="210" t="s">
        <v>224</v>
      </c>
      <c r="J107" s="327" t="s">
        <v>334</v>
      </c>
      <c r="K107" s="210" t="s">
        <v>335</v>
      </c>
      <c r="L107" s="315" t="s">
        <v>1091</v>
      </c>
      <c r="M107" s="257" t="s">
        <v>1091</v>
      </c>
      <c r="N107" s="274" t="s">
        <v>617</v>
      </c>
      <c r="O107" s="174" t="e">
        <v>#N/A</v>
      </c>
    </row>
    <row r="108" spans="1:15" ht="45">
      <c r="B108" s="164">
        <v>161</v>
      </c>
      <c r="C108" s="504" t="s">
        <v>29</v>
      </c>
      <c r="D108" s="213" t="s">
        <v>30</v>
      </c>
      <c r="E108" s="213" t="s">
        <v>331</v>
      </c>
      <c r="F108" s="111" t="s">
        <v>332</v>
      </c>
      <c r="G108" s="213" t="s">
        <v>7</v>
      </c>
      <c r="H108" s="213" t="s">
        <v>333</v>
      </c>
      <c r="I108" s="213" t="s">
        <v>224</v>
      </c>
      <c r="J108" s="312" t="s">
        <v>334</v>
      </c>
      <c r="K108" s="242" t="s">
        <v>335</v>
      </c>
      <c r="L108" s="315" t="s">
        <v>1091</v>
      </c>
      <c r="M108" s="246" t="s">
        <v>336</v>
      </c>
      <c r="N108" s="130" t="s">
        <v>285</v>
      </c>
      <c r="O108" s="174" t="e">
        <v>#N/A</v>
      </c>
    </row>
    <row r="109" spans="1:15" ht="120">
      <c r="B109" s="164">
        <v>163</v>
      </c>
      <c r="C109" s="224" t="s">
        <v>29</v>
      </c>
      <c r="D109" s="96" t="s">
        <v>30</v>
      </c>
      <c r="E109" s="96" t="s">
        <v>331</v>
      </c>
      <c r="F109" s="96" t="s">
        <v>1236</v>
      </c>
      <c r="G109" s="96" t="s">
        <v>9</v>
      </c>
      <c r="H109" s="96" t="s">
        <v>1237</v>
      </c>
      <c r="I109" s="96" t="s">
        <v>224</v>
      </c>
      <c r="J109" s="576" t="s">
        <v>1238</v>
      </c>
      <c r="K109" s="96" t="s">
        <v>1239</v>
      </c>
      <c r="L109" s="336" t="s">
        <v>1168</v>
      </c>
      <c r="M109" s="258" t="s">
        <v>1091</v>
      </c>
      <c r="N109" s="291" t="s">
        <v>1240</v>
      </c>
      <c r="O109" s="174" t="e">
        <v>#N/A</v>
      </c>
    </row>
    <row r="110" spans="1:15" ht="30">
      <c r="A110" s="587"/>
      <c r="B110" s="164">
        <v>250</v>
      </c>
      <c r="C110" s="663" t="s">
        <v>101</v>
      </c>
      <c r="D110" s="129" t="s">
        <v>1043</v>
      </c>
      <c r="E110" s="129" t="s">
        <v>138</v>
      </c>
      <c r="F110" s="129" t="s">
        <v>1223</v>
      </c>
      <c r="G110" s="535" t="s">
        <v>7</v>
      </c>
      <c r="H110" s="129" t="s">
        <v>1224</v>
      </c>
      <c r="I110" s="129" t="s">
        <v>224</v>
      </c>
      <c r="J110" s="312" t="s">
        <v>1177</v>
      </c>
      <c r="K110" s="246" t="s">
        <v>1178</v>
      </c>
      <c r="L110" s="258" t="s">
        <v>1091</v>
      </c>
      <c r="M110" s="213" t="s">
        <v>1179</v>
      </c>
      <c r="N110" s="555" t="s">
        <v>1180</v>
      </c>
      <c r="O110" s="174" t="s">
        <v>1091</v>
      </c>
    </row>
    <row r="111" spans="1:15">
      <c r="A111" s="587"/>
      <c r="B111" s="164">
        <v>251</v>
      </c>
      <c r="C111" s="680" t="s">
        <v>101</v>
      </c>
      <c r="D111" s="125" t="s">
        <v>1043</v>
      </c>
      <c r="E111" s="125" t="s">
        <v>138</v>
      </c>
      <c r="F111" s="125" t="s">
        <v>1106</v>
      </c>
      <c r="G111" s="124" t="s">
        <v>734</v>
      </c>
      <c r="H111" s="236" t="s">
        <v>1164</v>
      </c>
      <c r="I111" s="236" t="s">
        <v>224</v>
      </c>
      <c r="J111" s="347" t="s">
        <v>1165</v>
      </c>
      <c r="K111" s="344">
        <v>381605819</v>
      </c>
      <c r="L111" s="257"/>
      <c r="M111" s="343" t="s">
        <v>1166</v>
      </c>
      <c r="N111" s="580" t="s">
        <v>1167</v>
      </c>
      <c r="O111" s="174"/>
    </row>
    <row r="112" spans="1:15" ht="91.5" customHeight="1">
      <c r="B112" s="164">
        <v>242</v>
      </c>
      <c r="C112" s="571" t="s">
        <v>29</v>
      </c>
      <c r="D112" s="233" t="s">
        <v>41</v>
      </c>
      <c r="E112" s="233" t="s">
        <v>310</v>
      </c>
      <c r="F112" s="233" t="s">
        <v>311</v>
      </c>
      <c r="G112" s="233" t="s">
        <v>589</v>
      </c>
      <c r="H112" s="233" t="s">
        <v>710</v>
      </c>
      <c r="I112" s="237" t="s">
        <v>224</v>
      </c>
      <c r="J112" s="332" t="s">
        <v>1217</v>
      </c>
      <c r="K112" s="237" t="s">
        <v>314</v>
      </c>
      <c r="L112" s="257"/>
      <c r="M112" s="258"/>
      <c r="N112" s="568" t="s">
        <v>711</v>
      </c>
      <c r="O112" s="193"/>
    </row>
    <row r="113" spans="1:15" ht="75">
      <c r="B113" s="164">
        <v>258</v>
      </c>
      <c r="C113" s="339" t="s">
        <v>29</v>
      </c>
      <c r="D113" s="339" t="s">
        <v>41</v>
      </c>
      <c r="E113" s="339" t="s">
        <v>310</v>
      </c>
      <c r="F113" s="339" t="s">
        <v>311</v>
      </c>
      <c r="G113" s="339" t="s">
        <v>712</v>
      </c>
      <c r="H113" s="339" t="s">
        <v>710</v>
      </c>
      <c r="I113" s="339" t="s">
        <v>224</v>
      </c>
      <c r="J113" s="685" t="s">
        <v>1217</v>
      </c>
      <c r="K113" s="339" t="s">
        <v>314</v>
      </c>
      <c r="L113" s="258"/>
      <c r="M113" s="258"/>
      <c r="N113" s="686" t="s">
        <v>711</v>
      </c>
      <c r="O113" s="174"/>
    </row>
    <row r="114" spans="1:15" ht="75">
      <c r="B114" s="164">
        <v>241</v>
      </c>
      <c r="C114" s="572" t="s">
        <v>29</v>
      </c>
      <c r="D114" s="236" t="s">
        <v>41</v>
      </c>
      <c r="E114" s="236" t="s">
        <v>310</v>
      </c>
      <c r="F114" s="574" t="s">
        <v>311</v>
      </c>
      <c r="G114" s="236" t="s">
        <v>1084</v>
      </c>
      <c r="H114" s="236" t="s">
        <v>710</v>
      </c>
      <c r="I114" s="236" t="s">
        <v>224</v>
      </c>
      <c r="J114" s="349" t="s">
        <v>1217</v>
      </c>
      <c r="K114" s="236" t="s">
        <v>314</v>
      </c>
      <c r="L114" s="257"/>
      <c r="M114" s="258"/>
      <c r="N114" s="567" t="s">
        <v>711</v>
      </c>
      <c r="O114" s="193"/>
    </row>
    <row r="115" spans="1:15" ht="60">
      <c r="A115" s="587"/>
      <c r="B115" s="164">
        <v>190</v>
      </c>
      <c r="C115" s="680" t="s">
        <v>29</v>
      </c>
      <c r="D115" s="125" t="s">
        <v>41</v>
      </c>
      <c r="E115" s="125" t="s">
        <v>310</v>
      </c>
      <c r="F115" s="124" t="s">
        <v>311</v>
      </c>
      <c r="G115" s="124" t="s">
        <v>734</v>
      </c>
      <c r="H115" s="125" t="s">
        <v>687</v>
      </c>
      <c r="I115" s="125" t="s">
        <v>224</v>
      </c>
      <c r="J115" s="350" t="s">
        <v>1217</v>
      </c>
      <c r="K115" s="248" t="s">
        <v>736</v>
      </c>
      <c r="L115" s="325" t="s">
        <v>1091</v>
      </c>
      <c r="M115" s="257" t="s">
        <v>1091</v>
      </c>
      <c r="N115" s="279" t="s">
        <v>735</v>
      </c>
      <c r="O115" s="174" t="e">
        <v>#N/A</v>
      </c>
    </row>
    <row r="116" spans="1:15" ht="45">
      <c r="A116" s="587"/>
      <c r="B116" s="164">
        <v>187</v>
      </c>
      <c r="C116" s="224" t="s">
        <v>29</v>
      </c>
      <c r="D116" s="96" t="s">
        <v>41</v>
      </c>
      <c r="E116" s="96" t="s">
        <v>310</v>
      </c>
      <c r="F116" s="96" t="s">
        <v>311</v>
      </c>
      <c r="G116" s="96" t="s">
        <v>9</v>
      </c>
      <c r="H116" s="96" t="s">
        <v>687</v>
      </c>
      <c r="I116" s="96" t="s">
        <v>224</v>
      </c>
      <c r="J116" s="335" t="s">
        <v>313</v>
      </c>
      <c r="K116" s="228" t="s">
        <v>314</v>
      </c>
      <c r="L116" s="314" t="s">
        <v>1091</v>
      </c>
      <c r="M116" s="315" t="s">
        <v>1091</v>
      </c>
      <c r="N116" s="291" t="s">
        <v>688</v>
      </c>
      <c r="O116" s="174" t="e">
        <v>#N/A</v>
      </c>
    </row>
    <row r="117" spans="1:15" ht="45">
      <c r="A117" s="587"/>
      <c r="B117" s="164">
        <v>24</v>
      </c>
      <c r="C117" s="224" t="s">
        <v>49</v>
      </c>
      <c r="D117" s="96" t="s">
        <v>186</v>
      </c>
      <c r="E117" s="96" t="s">
        <v>187</v>
      </c>
      <c r="F117" s="96" t="s">
        <v>689</v>
      </c>
      <c r="G117" s="96" t="s">
        <v>9</v>
      </c>
      <c r="H117" s="96" t="s">
        <v>690</v>
      </c>
      <c r="I117" s="96" t="s">
        <v>224</v>
      </c>
      <c r="J117" s="335" t="s">
        <v>691</v>
      </c>
      <c r="K117" s="228" t="s">
        <v>692</v>
      </c>
      <c r="L117" s="335" t="s">
        <v>693</v>
      </c>
      <c r="M117" s="257" t="s">
        <v>1090</v>
      </c>
      <c r="N117" s="275" t="s">
        <v>694</v>
      </c>
      <c r="O117" s="174" t="e">
        <v>#N/A</v>
      </c>
    </row>
    <row r="118" spans="1:15" ht="30">
      <c r="A118" s="587"/>
      <c r="B118" s="164">
        <v>27</v>
      </c>
      <c r="C118" s="680" t="s">
        <v>49</v>
      </c>
      <c r="D118" s="125" t="s">
        <v>186</v>
      </c>
      <c r="E118" s="125" t="s">
        <v>187</v>
      </c>
      <c r="F118" s="125" t="s">
        <v>737</v>
      </c>
      <c r="G118" s="124" t="s">
        <v>734</v>
      </c>
      <c r="H118" s="125" t="s">
        <v>690</v>
      </c>
      <c r="I118" s="125" t="s">
        <v>224</v>
      </c>
      <c r="J118" s="346" t="s">
        <v>691</v>
      </c>
      <c r="K118" s="248" t="s">
        <v>692</v>
      </c>
      <c r="L118" s="346" t="s">
        <v>693</v>
      </c>
      <c r="M118" s="257" t="s">
        <v>1090</v>
      </c>
      <c r="N118" s="280" t="s">
        <v>735</v>
      </c>
      <c r="O118" s="174" t="e">
        <v>#N/A</v>
      </c>
    </row>
    <row r="119" spans="1:15" ht="30">
      <c r="A119" s="587"/>
      <c r="B119" s="164">
        <v>151</v>
      </c>
      <c r="C119" s="663" t="s">
        <v>76</v>
      </c>
      <c r="D119" s="129" t="s">
        <v>1011</v>
      </c>
      <c r="E119" s="129">
        <v>58400</v>
      </c>
      <c r="F119" s="129" t="s">
        <v>1010</v>
      </c>
      <c r="G119" s="129" t="s">
        <v>7</v>
      </c>
      <c r="H119" s="129" t="s">
        <v>1008</v>
      </c>
      <c r="I119" s="129" t="s">
        <v>224</v>
      </c>
      <c r="J119" s="312" t="s">
        <v>1012</v>
      </c>
      <c r="K119" s="257"/>
      <c r="L119" s="257"/>
      <c r="M119" s="257"/>
      <c r="N119" s="149"/>
      <c r="O119" s="174" t="e">
        <v>#N/A</v>
      </c>
    </row>
    <row r="120" spans="1:15" ht="30">
      <c r="A120" s="587"/>
      <c r="B120" s="164">
        <v>152</v>
      </c>
      <c r="C120" s="224" t="s">
        <v>76</v>
      </c>
      <c r="D120" s="96" t="s">
        <v>1011</v>
      </c>
      <c r="E120" s="96">
        <v>58400</v>
      </c>
      <c r="F120" s="96" t="s">
        <v>1010</v>
      </c>
      <c r="G120" s="96" t="s">
        <v>1009</v>
      </c>
      <c r="H120" s="96" t="s">
        <v>1008</v>
      </c>
      <c r="I120" s="96" t="s">
        <v>224</v>
      </c>
      <c r="J120" s="335" t="s">
        <v>1012</v>
      </c>
      <c r="K120" s="257"/>
      <c r="L120" s="257"/>
      <c r="M120" s="257"/>
      <c r="N120" s="149"/>
      <c r="O120" s="174" t="e">
        <v>#N/A</v>
      </c>
    </row>
    <row r="121" spans="1:15" ht="30">
      <c r="A121" s="587"/>
      <c r="B121" s="164">
        <v>77</v>
      </c>
      <c r="C121" s="504" t="s">
        <v>101</v>
      </c>
      <c r="D121" s="111" t="s">
        <v>227</v>
      </c>
      <c r="E121" s="111" t="s">
        <v>228</v>
      </c>
      <c r="F121" s="111" t="s">
        <v>229</v>
      </c>
      <c r="G121" s="111" t="s">
        <v>7</v>
      </c>
      <c r="H121" s="111" t="s">
        <v>381</v>
      </c>
      <c r="I121" s="111" t="s">
        <v>224</v>
      </c>
      <c r="J121" s="311" t="s">
        <v>231</v>
      </c>
      <c r="K121" s="239" t="s">
        <v>232</v>
      </c>
      <c r="L121" s="314" t="s">
        <v>1091</v>
      </c>
      <c r="M121" s="246" t="s">
        <v>350</v>
      </c>
      <c r="N121" s="130" t="s">
        <v>285</v>
      </c>
      <c r="O121" s="174" t="e">
        <v>#N/A</v>
      </c>
    </row>
    <row r="122" spans="1:15" s="137" customFormat="1" ht="30">
      <c r="A122" s="587"/>
      <c r="B122" s="164">
        <v>78</v>
      </c>
      <c r="C122" s="504" t="s">
        <v>101</v>
      </c>
      <c r="D122" s="111" t="s">
        <v>227</v>
      </c>
      <c r="E122" s="111">
        <v>25300</v>
      </c>
      <c r="F122" s="111" t="s">
        <v>229</v>
      </c>
      <c r="G122" s="111" t="s">
        <v>1086</v>
      </c>
      <c r="H122" s="213" t="s">
        <v>381</v>
      </c>
      <c r="I122" s="111" t="s">
        <v>224</v>
      </c>
      <c r="J122" s="312" t="s">
        <v>231</v>
      </c>
      <c r="K122" s="242" t="s">
        <v>382</v>
      </c>
      <c r="L122" s="315" t="s">
        <v>1091</v>
      </c>
      <c r="M122" s="246" t="s">
        <v>383</v>
      </c>
      <c r="N122" s="130" t="s">
        <v>384</v>
      </c>
      <c r="O122" s="174" t="e">
        <v>#N/A</v>
      </c>
    </row>
    <row r="123" spans="1:15" ht="45">
      <c r="A123" s="587"/>
      <c r="B123" s="164">
        <v>192</v>
      </c>
      <c r="C123" s="407" t="s">
        <v>29</v>
      </c>
      <c r="D123" s="126" t="s">
        <v>618</v>
      </c>
      <c r="E123" s="126">
        <v>71100</v>
      </c>
      <c r="F123" s="126" t="s">
        <v>619</v>
      </c>
      <c r="G123" s="128" t="s">
        <v>589</v>
      </c>
      <c r="H123" s="126" t="s">
        <v>620</v>
      </c>
      <c r="I123" s="126" t="s">
        <v>224</v>
      </c>
      <c r="J123" s="327" t="s">
        <v>1127</v>
      </c>
      <c r="K123" s="210" t="s">
        <v>622</v>
      </c>
      <c r="L123" s="327" t="s">
        <v>623</v>
      </c>
      <c r="M123" s="257" t="s">
        <v>1091</v>
      </c>
      <c r="N123" s="274" t="s">
        <v>624</v>
      </c>
      <c r="O123" s="174" t="e">
        <v>#N/A</v>
      </c>
    </row>
    <row r="124" spans="1:15" ht="75">
      <c r="A124" s="587"/>
      <c r="B124" s="164">
        <v>193</v>
      </c>
      <c r="C124" s="680" t="s">
        <v>29</v>
      </c>
      <c r="D124" s="125" t="s">
        <v>618</v>
      </c>
      <c r="E124" s="125" t="s">
        <v>95</v>
      </c>
      <c r="F124" s="125" t="s">
        <v>943</v>
      </c>
      <c r="G124" s="124" t="s">
        <v>734</v>
      </c>
      <c r="H124" s="125" t="s">
        <v>738</v>
      </c>
      <c r="I124" s="125" t="s">
        <v>224</v>
      </c>
      <c r="J124" s="346" t="s">
        <v>739</v>
      </c>
      <c r="K124" s="248" t="s">
        <v>622</v>
      </c>
      <c r="L124" s="346" t="s">
        <v>623</v>
      </c>
      <c r="M124" s="257" t="s">
        <v>1091</v>
      </c>
      <c r="N124" s="280" t="s">
        <v>741</v>
      </c>
      <c r="O124" s="174" t="e">
        <v>#N/A</v>
      </c>
    </row>
    <row r="125" spans="1:15" ht="45">
      <c r="A125" s="587"/>
      <c r="B125" s="164">
        <v>124</v>
      </c>
      <c r="C125" s="407" t="s">
        <v>83</v>
      </c>
      <c r="D125" s="126" t="s">
        <v>221</v>
      </c>
      <c r="E125" s="126" t="s">
        <v>222</v>
      </c>
      <c r="F125" s="128" t="s">
        <v>625</v>
      </c>
      <c r="G125" s="128" t="s">
        <v>589</v>
      </c>
      <c r="H125" s="126" t="s">
        <v>626</v>
      </c>
      <c r="I125" s="126" t="s">
        <v>224</v>
      </c>
      <c r="J125" s="327" t="s">
        <v>627</v>
      </c>
      <c r="K125" s="210" t="s">
        <v>628</v>
      </c>
      <c r="L125" s="315" t="s">
        <v>1091</v>
      </c>
      <c r="M125" s="257" t="s">
        <v>1090</v>
      </c>
      <c r="N125" s="274" t="s">
        <v>629</v>
      </c>
      <c r="O125" s="174" t="e">
        <v>#N/A</v>
      </c>
    </row>
    <row r="126" spans="1:15" ht="45">
      <c r="A126" s="587"/>
      <c r="B126" s="164">
        <v>139</v>
      </c>
      <c r="C126" s="407" t="s">
        <v>83</v>
      </c>
      <c r="D126" s="126" t="s">
        <v>630</v>
      </c>
      <c r="E126" s="126" t="s">
        <v>631</v>
      </c>
      <c r="F126" s="128" t="s">
        <v>625</v>
      </c>
      <c r="G126" s="128" t="s">
        <v>589</v>
      </c>
      <c r="H126" s="126" t="s">
        <v>632</v>
      </c>
      <c r="I126" s="126" t="s">
        <v>224</v>
      </c>
      <c r="J126" s="327" t="s">
        <v>633</v>
      </c>
      <c r="K126" s="210" t="s">
        <v>628</v>
      </c>
      <c r="L126" s="328" t="s">
        <v>634</v>
      </c>
      <c r="M126" s="257" t="s">
        <v>1091</v>
      </c>
      <c r="N126" s="274" t="s">
        <v>635</v>
      </c>
      <c r="O126" s="174" t="e">
        <v>#N/A</v>
      </c>
    </row>
    <row r="127" spans="1:15" s="148" customFormat="1" ht="45">
      <c r="A127" s="587"/>
      <c r="B127" s="164">
        <v>127</v>
      </c>
      <c r="C127" s="224" t="s">
        <v>83</v>
      </c>
      <c r="D127" s="96" t="s">
        <v>221</v>
      </c>
      <c r="E127" s="96" t="s">
        <v>222</v>
      </c>
      <c r="F127" s="96" t="s">
        <v>743</v>
      </c>
      <c r="G127" s="96" t="s">
        <v>1009</v>
      </c>
      <c r="H127" s="96" t="s">
        <v>626</v>
      </c>
      <c r="I127" s="96" t="s">
        <v>224</v>
      </c>
      <c r="J127" s="367" t="s">
        <v>633</v>
      </c>
      <c r="K127" s="228" t="s">
        <v>696</v>
      </c>
      <c r="L127" s="258"/>
      <c r="M127" s="257" t="s">
        <v>1088</v>
      </c>
      <c r="N127" s="275" t="s">
        <v>735</v>
      </c>
      <c r="O127" s="174" t="e">
        <v>#N/A</v>
      </c>
    </row>
    <row r="128" spans="1:15" ht="45">
      <c r="A128" s="587"/>
      <c r="B128" s="164">
        <v>126</v>
      </c>
      <c r="C128" s="680" t="s">
        <v>83</v>
      </c>
      <c r="D128" s="125" t="s">
        <v>221</v>
      </c>
      <c r="E128" s="125" t="s">
        <v>222</v>
      </c>
      <c r="F128" s="125" t="s">
        <v>695</v>
      </c>
      <c r="G128" s="125" t="s">
        <v>734</v>
      </c>
      <c r="H128" s="125" t="s">
        <v>626</v>
      </c>
      <c r="I128" s="125" t="s">
        <v>224</v>
      </c>
      <c r="J128" s="346" t="s">
        <v>633</v>
      </c>
      <c r="K128" s="248" t="s">
        <v>696</v>
      </c>
      <c r="L128" s="350" t="s">
        <v>634</v>
      </c>
      <c r="M128" s="257"/>
      <c r="N128" s="290" t="s">
        <v>697</v>
      </c>
      <c r="O128" s="174" t="e">
        <v>#N/A</v>
      </c>
    </row>
    <row r="129" spans="1:15" ht="90">
      <c r="B129" s="164">
        <v>216</v>
      </c>
      <c r="C129" s="407" t="s">
        <v>69</v>
      </c>
      <c r="D129" s="126" t="s">
        <v>160</v>
      </c>
      <c r="E129" s="126">
        <v>89000</v>
      </c>
      <c r="F129" s="126" t="s">
        <v>337</v>
      </c>
      <c r="G129" s="128" t="s">
        <v>589</v>
      </c>
      <c r="H129" s="126" t="s">
        <v>338</v>
      </c>
      <c r="I129" s="126" t="s">
        <v>224</v>
      </c>
      <c r="J129" s="327" t="s">
        <v>339</v>
      </c>
      <c r="K129" s="210" t="s">
        <v>636</v>
      </c>
      <c r="L129" s="327" t="s">
        <v>341</v>
      </c>
      <c r="M129" s="257" t="s">
        <v>1091</v>
      </c>
      <c r="N129" s="274" t="s">
        <v>637</v>
      </c>
      <c r="O129" s="174" t="e">
        <v>#N/A</v>
      </c>
    </row>
    <row r="130" spans="1:15" ht="45">
      <c r="B130" s="164">
        <v>218</v>
      </c>
      <c r="C130" s="224" t="s">
        <v>69</v>
      </c>
      <c r="D130" s="96" t="s">
        <v>160</v>
      </c>
      <c r="E130" s="96">
        <v>89000</v>
      </c>
      <c r="F130" s="96" t="s">
        <v>337</v>
      </c>
      <c r="G130" s="96" t="s">
        <v>9</v>
      </c>
      <c r="H130" s="96" t="s">
        <v>338</v>
      </c>
      <c r="I130" s="96" t="s">
        <v>224</v>
      </c>
      <c r="J130" s="335" t="s">
        <v>339</v>
      </c>
      <c r="K130" s="228" t="s">
        <v>699</v>
      </c>
      <c r="L130" s="335" t="s">
        <v>341</v>
      </c>
      <c r="M130" s="257" t="s">
        <v>1091</v>
      </c>
      <c r="N130" s="275" t="s">
        <v>700</v>
      </c>
      <c r="O130" s="174" t="e">
        <v>#N/A</v>
      </c>
    </row>
    <row r="131" spans="1:15" ht="30">
      <c r="B131" s="164">
        <v>219</v>
      </c>
      <c r="C131" s="680" t="s">
        <v>69</v>
      </c>
      <c r="D131" s="125" t="s">
        <v>160</v>
      </c>
      <c r="E131" s="125">
        <v>89000</v>
      </c>
      <c r="F131" s="125" t="s">
        <v>337</v>
      </c>
      <c r="G131" s="124" t="s">
        <v>734</v>
      </c>
      <c r="H131" s="125" t="s">
        <v>338</v>
      </c>
      <c r="I131" s="125" t="s">
        <v>224</v>
      </c>
      <c r="J131" s="346" t="s">
        <v>339</v>
      </c>
      <c r="K131" s="248" t="s">
        <v>699</v>
      </c>
      <c r="L131" s="346" t="s">
        <v>341</v>
      </c>
      <c r="M131" s="257" t="s">
        <v>1091</v>
      </c>
      <c r="N131" s="280" t="s">
        <v>735</v>
      </c>
      <c r="O131" s="174" t="e">
        <v>#N/A</v>
      </c>
    </row>
    <row r="132" spans="1:15" ht="30">
      <c r="B132" s="164">
        <v>211</v>
      </c>
      <c r="C132" s="504" t="s">
        <v>69</v>
      </c>
      <c r="D132" s="111" t="s">
        <v>160</v>
      </c>
      <c r="E132" s="111" t="s">
        <v>161</v>
      </c>
      <c r="F132" s="111" t="s">
        <v>337</v>
      </c>
      <c r="G132" s="111" t="s">
        <v>7</v>
      </c>
      <c r="H132" s="111" t="s">
        <v>338</v>
      </c>
      <c r="I132" s="111" t="s">
        <v>224</v>
      </c>
      <c r="J132" s="312" t="s">
        <v>339</v>
      </c>
      <c r="K132" s="242" t="s">
        <v>340</v>
      </c>
      <c r="L132" s="312" t="s">
        <v>341</v>
      </c>
      <c r="M132" s="246" t="s">
        <v>342</v>
      </c>
      <c r="N132" s="130" t="s">
        <v>304</v>
      </c>
      <c r="O132" s="174" t="e">
        <v>#N/A</v>
      </c>
    </row>
    <row r="133" spans="1:15" ht="30">
      <c r="B133" s="164">
        <v>220</v>
      </c>
      <c r="C133" s="679" t="s">
        <v>69</v>
      </c>
      <c r="D133" s="214" t="s">
        <v>160</v>
      </c>
      <c r="E133" s="214">
        <v>89000</v>
      </c>
      <c r="F133" s="214" t="s">
        <v>337</v>
      </c>
      <c r="G133" s="215" t="s">
        <v>11</v>
      </c>
      <c r="H133" s="214" t="s">
        <v>338</v>
      </c>
      <c r="I133" s="214" t="s">
        <v>224</v>
      </c>
      <c r="J133" s="356" t="s">
        <v>339</v>
      </c>
      <c r="K133" s="249" t="s">
        <v>749</v>
      </c>
      <c r="L133" s="356" t="s">
        <v>341</v>
      </c>
      <c r="M133" s="249" t="s">
        <v>342</v>
      </c>
      <c r="N133" s="281" t="s">
        <v>747</v>
      </c>
      <c r="O133" s="174" t="e">
        <v>#N/A</v>
      </c>
    </row>
    <row r="134" spans="1:15" ht="75">
      <c r="B134" s="164">
        <v>47</v>
      </c>
      <c r="C134" s="407" t="s">
        <v>101</v>
      </c>
      <c r="D134" s="126" t="s">
        <v>1042</v>
      </c>
      <c r="E134" s="126" t="s">
        <v>138</v>
      </c>
      <c r="F134" s="126" t="s">
        <v>1041</v>
      </c>
      <c r="G134" s="128" t="s">
        <v>589</v>
      </c>
      <c r="H134" s="126" t="s">
        <v>639</v>
      </c>
      <c r="I134" s="126" t="s">
        <v>224</v>
      </c>
      <c r="J134" s="327" t="s">
        <v>640</v>
      </c>
      <c r="K134" s="210" t="s">
        <v>641</v>
      </c>
      <c r="L134" s="327" t="s">
        <v>642</v>
      </c>
      <c r="M134" s="257" t="s">
        <v>1090</v>
      </c>
      <c r="N134" s="293" t="s">
        <v>1209</v>
      </c>
      <c r="O134" s="174" t="e">
        <v>#N/A</v>
      </c>
    </row>
    <row r="135" spans="1:15" ht="75">
      <c r="B135" s="164">
        <v>72</v>
      </c>
      <c r="C135" s="407" t="s">
        <v>101</v>
      </c>
      <c r="D135" s="126" t="s">
        <v>1043</v>
      </c>
      <c r="E135" s="126" t="s">
        <v>138</v>
      </c>
      <c r="F135" s="126" t="s">
        <v>1040</v>
      </c>
      <c r="G135" s="128" t="s">
        <v>589</v>
      </c>
      <c r="H135" s="126" t="s">
        <v>639</v>
      </c>
      <c r="I135" s="126" t="s">
        <v>224</v>
      </c>
      <c r="J135" s="327" t="s">
        <v>640</v>
      </c>
      <c r="K135" s="210" t="s">
        <v>641</v>
      </c>
      <c r="L135" s="327" t="s">
        <v>642</v>
      </c>
      <c r="M135" s="257" t="s">
        <v>1090</v>
      </c>
      <c r="N135" s="274" t="s">
        <v>1211</v>
      </c>
      <c r="O135" s="174" t="e">
        <v>#N/A</v>
      </c>
    </row>
    <row r="136" spans="1:15" ht="60">
      <c r="A136" s="9"/>
      <c r="B136" s="164">
        <v>249</v>
      </c>
      <c r="C136" s="680" t="s">
        <v>101</v>
      </c>
      <c r="D136" s="248" t="s">
        <v>1042</v>
      </c>
      <c r="E136" s="248" t="s">
        <v>138</v>
      </c>
      <c r="F136" s="125" t="s">
        <v>1222</v>
      </c>
      <c r="G136" s="342" t="s">
        <v>734</v>
      </c>
      <c r="H136" s="257" t="s">
        <v>1091</v>
      </c>
      <c r="I136" s="257" t="s">
        <v>1091</v>
      </c>
      <c r="J136" s="257" t="s">
        <v>1091</v>
      </c>
      <c r="K136" s="257" t="s">
        <v>1091</v>
      </c>
      <c r="L136" s="257" t="s">
        <v>1091</v>
      </c>
      <c r="M136" s="257" t="s">
        <v>1091</v>
      </c>
      <c r="N136" s="149" t="s">
        <v>1091</v>
      </c>
      <c r="O136" s="174"/>
    </row>
    <row r="137" spans="1:15" ht="30">
      <c r="B137" s="164">
        <v>51</v>
      </c>
      <c r="C137" s="504" t="s">
        <v>101</v>
      </c>
      <c r="D137" s="111" t="s">
        <v>137</v>
      </c>
      <c r="E137" s="111" t="s">
        <v>138</v>
      </c>
      <c r="F137" s="129" t="s">
        <v>1037</v>
      </c>
      <c r="G137" s="111" t="s">
        <v>7</v>
      </c>
      <c r="H137" s="129" t="s">
        <v>1038</v>
      </c>
      <c r="I137" s="129" t="s">
        <v>1039</v>
      </c>
      <c r="J137" s="308"/>
      <c r="K137" s="308"/>
      <c r="L137" s="308"/>
      <c r="M137" s="246" t="s">
        <v>977</v>
      </c>
      <c r="N137" s="130" t="s">
        <v>1036</v>
      </c>
      <c r="O137" s="174" t="e">
        <v>#N/A</v>
      </c>
    </row>
    <row r="138" spans="1:15" ht="30">
      <c r="B138" s="164">
        <v>23</v>
      </c>
      <c r="C138" s="407" t="s">
        <v>49</v>
      </c>
      <c r="D138" s="126" t="s">
        <v>186</v>
      </c>
      <c r="E138" s="126" t="s">
        <v>187</v>
      </c>
      <c r="F138" s="126" t="s">
        <v>644</v>
      </c>
      <c r="G138" s="128" t="s">
        <v>589</v>
      </c>
      <c r="H138" s="126" t="s">
        <v>344</v>
      </c>
      <c r="I138" s="126" t="s">
        <v>224</v>
      </c>
      <c r="J138" s="327" t="s">
        <v>345</v>
      </c>
      <c r="K138" s="210" t="s">
        <v>645</v>
      </c>
      <c r="L138" s="327" t="s">
        <v>347</v>
      </c>
      <c r="M138" s="257" t="s">
        <v>1090</v>
      </c>
      <c r="N138" s="274" t="s">
        <v>646</v>
      </c>
      <c r="O138" s="174" t="e">
        <v>#N/A</v>
      </c>
    </row>
    <row r="139" spans="1:15" ht="75">
      <c r="B139" s="164">
        <v>19</v>
      </c>
      <c r="C139" s="504" t="s">
        <v>49</v>
      </c>
      <c r="D139" s="111" t="s">
        <v>186</v>
      </c>
      <c r="E139" s="111" t="s">
        <v>187</v>
      </c>
      <c r="F139" s="111" t="s">
        <v>343</v>
      </c>
      <c r="G139" s="111" t="s">
        <v>7</v>
      </c>
      <c r="H139" s="111" t="s">
        <v>344</v>
      </c>
      <c r="I139" s="111" t="s">
        <v>224</v>
      </c>
      <c r="J139" s="312" t="s">
        <v>345</v>
      </c>
      <c r="K139" s="242" t="s">
        <v>346</v>
      </c>
      <c r="L139" s="312" t="s">
        <v>347</v>
      </c>
      <c r="M139" s="246" t="s">
        <v>348</v>
      </c>
      <c r="N139" s="130" t="s">
        <v>304</v>
      </c>
      <c r="O139" s="174" t="e">
        <v>#N/A</v>
      </c>
    </row>
    <row r="140" spans="1:15" ht="75">
      <c r="B140" s="164">
        <v>25</v>
      </c>
      <c r="C140" s="224" t="s">
        <v>49</v>
      </c>
      <c r="D140" s="96" t="s">
        <v>186</v>
      </c>
      <c r="E140" s="96" t="s">
        <v>187</v>
      </c>
      <c r="F140" s="96" t="s">
        <v>343</v>
      </c>
      <c r="G140" s="96" t="s">
        <v>9</v>
      </c>
      <c r="H140" s="96" t="s">
        <v>344</v>
      </c>
      <c r="I140" s="96" t="s">
        <v>224</v>
      </c>
      <c r="J140" s="335" t="s">
        <v>345</v>
      </c>
      <c r="K140" s="228" t="s">
        <v>701</v>
      </c>
      <c r="L140" s="335" t="s">
        <v>347</v>
      </c>
      <c r="M140" s="257" t="s">
        <v>1090</v>
      </c>
      <c r="N140" s="275" t="s">
        <v>702</v>
      </c>
      <c r="O140" s="174" t="e">
        <v>#N/A</v>
      </c>
    </row>
    <row r="141" spans="1:15" ht="75">
      <c r="B141" s="164">
        <v>28</v>
      </c>
      <c r="C141" s="680" t="s">
        <v>49</v>
      </c>
      <c r="D141" s="125" t="s">
        <v>186</v>
      </c>
      <c r="E141" s="125" t="s">
        <v>187</v>
      </c>
      <c r="F141" s="125" t="s">
        <v>343</v>
      </c>
      <c r="G141" s="124" t="s">
        <v>734</v>
      </c>
      <c r="H141" s="125" t="s">
        <v>344</v>
      </c>
      <c r="I141" s="125" t="s">
        <v>224</v>
      </c>
      <c r="J141" s="346" t="s">
        <v>345</v>
      </c>
      <c r="K141" s="248" t="s">
        <v>701</v>
      </c>
      <c r="L141" s="346" t="s">
        <v>347</v>
      </c>
      <c r="M141" s="257" t="s">
        <v>1090</v>
      </c>
      <c r="N141" s="280" t="s">
        <v>735</v>
      </c>
      <c r="O141" s="174" t="e">
        <v>#N/A</v>
      </c>
    </row>
    <row r="142" spans="1:15" ht="75">
      <c r="B142" s="164">
        <v>29</v>
      </c>
      <c r="C142" s="679" t="s">
        <v>49</v>
      </c>
      <c r="D142" s="214" t="s">
        <v>186</v>
      </c>
      <c r="E142" s="214" t="s">
        <v>187</v>
      </c>
      <c r="F142" s="214" t="s">
        <v>343</v>
      </c>
      <c r="G142" s="215" t="s">
        <v>11</v>
      </c>
      <c r="H142" s="214" t="s">
        <v>344</v>
      </c>
      <c r="I142" s="214" t="s">
        <v>224</v>
      </c>
      <c r="J142" s="356" t="s">
        <v>345</v>
      </c>
      <c r="K142" s="249" t="s">
        <v>750</v>
      </c>
      <c r="L142" s="356" t="s">
        <v>347</v>
      </c>
      <c r="M142" s="249" t="s">
        <v>751</v>
      </c>
      <c r="N142" s="281" t="s">
        <v>747</v>
      </c>
      <c r="O142" s="174" t="e">
        <v>#N/A</v>
      </c>
    </row>
    <row r="143" spans="1:15" ht="30">
      <c r="B143" s="164">
        <v>247</v>
      </c>
      <c r="C143" s="663" t="s">
        <v>69</v>
      </c>
      <c r="D143" s="129" t="s">
        <v>1095</v>
      </c>
      <c r="E143" s="129">
        <v>89340</v>
      </c>
      <c r="F143" s="129" t="s">
        <v>1096</v>
      </c>
      <c r="G143" s="129" t="s">
        <v>7</v>
      </c>
      <c r="H143" s="129" t="s">
        <v>1098</v>
      </c>
      <c r="I143" s="129" t="s">
        <v>731</v>
      </c>
      <c r="J143" s="384" t="s">
        <v>1099</v>
      </c>
      <c r="K143" s="246" t="s">
        <v>1102</v>
      </c>
      <c r="L143" s="312" t="s">
        <v>1097</v>
      </c>
      <c r="M143" s="257"/>
      <c r="N143" s="258"/>
      <c r="O143" s="536"/>
    </row>
    <row r="144" spans="1:15" ht="30">
      <c r="B144" s="164">
        <v>246</v>
      </c>
      <c r="C144" s="224" t="s">
        <v>69</v>
      </c>
      <c r="D144" s="96" t="s">
        <v>1095</v>
      </c>
      <c r="E144" s="96">
        <v>89340</v>
      </c>
      <c r="F144" s="96" t="s">
        <v>1096</v>
      </c>
      <c r="G144" s="96" t="s">
        <v>9</v>
      </c>
      <c r="H144" s="96" t="s">
        <v>1098</v>
      </c>
      <c r="I144" s="96" t="s">
        <v>731</v>
      </c>
      <c r="J144" s="365" t="s">
        <v>1099</v>
      </c>
      <c r="K144" s="228" t="s">
        <v>1100</v>
      </c>
      <c r="L144" s="335" t="s">
        <v>1097</v>
      </c>
      <c r="M144" s="228"/>
      <c r="N144" s="218" t="s">
        <v>1101</v>
      </c>
      <c r="O144" s="536"/>
    </row>
    <row r="145" spans="1:15" ht="30">
      <c r="B145" s="164">
        <v>199</v>
      </c>
      <c r="C145" s="504" t="s">
        <v>108</v>
      </c>
      <c r="D145" s="111" t="s">
        <v>109</v>
      </c>
      <c r="E145" s="111">
        <v>90000</v>
      </c>
      <c r="F145" s="111" t="s">
        <v>385</v>
      </c>
      <c r="G145" s="111" t="s">
        <v>1231</v>
      </c>
      <c r="H145" s="111" t="s">
        <v>386</v>
      </c>
      <c r="I145" s="111" t="s">
        <v>34</v>
      </c>
      <c r="J145" s="312" t="s">
        <v>257</v>
      </c>
      <c r="K145" s="242" t="s">
        <v>387</v>
      </c>
      <c r="L145" s="312" t="s">
        <v>259</v>
      </c>
      <c r="M145" s="246" t="s">
        <v>388</v>
      </c>
      <c r="N145" s="130" t="s">
        <v>304</v>
      </c>
      <c r="O145" s="174" t="s">
        <v>814</v>
      </c>
    </row>
    <row r="146" spans="1:15" ht="30">
      <c r="B146" s="164">
        <v>93</v>
      </c>
      <c r="C146" s="504" t="s">
        <v>57</v>
      </c>
      <c r="D146" s="111" t="s">
        <v>389</v>
      </c>
      <c r="E146" s="111">
        <v>70200</v>
      </c>
      <c r="F146" s="111" t="s">
        <v>390</v>
      </c>
      <c r="G146" s="111" t="s">
        <v>1086</v>
      </c>
      <c r="H146" s="111" t="s">
        <v>391</v>
      </c>
      <c r="I146" s="111" t="s">
        <v>224</v>
      </c>
      <c r="J146" s="312" t="s">
        <v>392</v>
      </c>
      <c r="K146" s="242" t="s">
        <v>393</v>
      </c>
      <c r="L146" s="312" t="s">
        <v>394</v>
      </c>
      <c r="M146" s="246" t="s">
        <v>395</v>
      </c>
      <c r="N146" s="130" t="s">
        <v>396</v>
      </c>
      <c r="O146" s="174" t="e">
        <v>#N/A</v>
      </c>
    </row>
    <row r="147" spans="1:15" ht="30">
      <c r="B147" s="164">
        <v>97</v>
      </c>
      <c r="C147" s="504" t="s">
        <v>57</v>
      </c>
      <c r="D147" s="111" t="s">
        <v>64</v>
      </c>
      <c r="E147" s="111">
        <v>70300</v>
      </c>
      <c r="F147" s="111" t="s">
        <v>397</v>
      </c>
      <c r="G147" s="111" t="s">
        <v>1086</v>
      </c>
      <c r="H147" s="111" t="s">
        <v>391</v>
      </c>
      <c r="I147" s="111" t="s">
        <v>224</v>
      </c>
      <c r="J147" s="312" t="s">
        <v>392</v>
      </c>
      <c r="K147" s="242" t="s">
        <v>393</v>
      </c>
      <c r="L147" s="312" t="s">
        <v>394</v>
      </c>
      <c r="M147" s="246" t="s">
        <v>398</v>
      </c>
      <c r="N147" s="130" t="s">
        <v>396</v>
      </c>
      <c r="O147" s="174" t="e">
        <v>#N/A</v>
      </c>
    </row>
    <row r="148" spans="1:15" ht="30">
      <c r="B148" s="164">
        <v>105</v>
      </c>
      <c r="C148" s="504" t="s">
        <v>57</v>
      </c>
      <c r="D148" s="111" t="s">
        <v>146</v>
      </c>
      <c r="E148" s="111">
        <v>70000</v>
      </c>
      <c r="F148" s="111" t="s">
        <v>399</v>
      </c>
      <c r="G148" s="111" t="s">
        <v>1086</v>
      </c>
      <c r="H148" s="111" t="s">
        <v>391</v>
      </c>
      <c r="I148" s="111" t="s">
        <v>224</v>
      </c>
      <c r="J148" s="312" t="s">
        <v>392</v>
      </c>
      <c r="K148" s="242" t="s">
        <v>393</v>
      </c>
      <c r="L148" s="312" t="s">
        <v>394</v>
      </c>
      <c r="M148" s="246" t="s">
        <v>395</v>
      </c>
      <c r="N148" s="130" t="s">
        <v>396</v>
      </c>
      <c r="O148" s="174" t="e">
        <v>#N/A</v>
      </c>
    </row>
    <row r="149" spans="1:15" ht="30.6" customHeight="1">
      <c r="B149" s="164">
        <v>156</v>
      </c>
      <c r="C149" s="225" t="s">
        <v>76</v>
      </c>
      <c r="D149" s="156" t="s">
        <v>169</v>
      </c>
      <c r="E149" s="156" t="s">
        <v>78</v>
      </c>
      <c r="F149" s="156" t="s">
        <v>219</v>
      </c>
      <c r="G149" s="156" t="s">
        <v>410</v>
      </c>
      <c r="H149" s="156" t="s">
        <v>72</v>
      </c>
      <c r="I149" s="156" t="s">
        <v>34</v>
      </c>
      <c r="J149" s="317" t="s">
        <v>216</v>
      </c>
      <c r="K149" s="244" t="s">
        <v>81</v>
      </c>
      <c r="L149" s="315" t="s">
        <v>1091</v>
      </c>
      <c r="M149" s="105" t="s">
        <v>414</v>
      </c>
      <c r="N149" s="287" t="s">
        <v>415</v>
      </c>
      <c r="O149" s="174" t="e">
        <v>#N/A</v>
      </c>
    </row>
    <row r="150" spans="1:15">
      <c r="B150" s="164">
        <v>159</v>
      </c>
      <c r="C150" s="225" t="s">
        <v>76</v>
      </c>
      <c r="D150" s="156" t="s">
        <v>77</v>
      </c>
      <c r="E150" s="156" t="s">
        <v>78</v>
      </c>
      <c r="F150" s="156" t="s">
        <v>79</v>
      </c>
      <c r="G150" s="156" t="s">
        <v>32</v>
      </c>
      <c r="H150" s="156" t="s">
        <v>72</v>
      </c>
      <c r="I150" s="156" t="s">
        <v>34</v>
      </c>
      <c r="J150" s="317" t="s">
        <v>80</v>
      </c>
      <c r="K150" s="244" t="s">
        <v>81</v>
      </c>
      <c r="L150" s="66" t="s">
        <v>1091</v>
      </c>
      <c r="M150" s="105" t="s">
        <v>82</v>
      </c>
      <c r="N150" s="149" t="s">
        <v>1090</v>
      </c>
      <c r="O150" s="174" t="e">
        <v>#N/A</v>
      </c>
    </row>
    <row r="151" spans="1:15" ht="30.6" customHeight="1">
      <c r="B151" s="164">
        <v>150</v>
      </c>
      <c r="C151" s="667" t="s">
        <v>76</v>
      </c>
      <c r="D151" s="156" t="s">
        <v>514</v>
      </c>
      <c r="E151" s="156">
        <v>58160</v>
      </c>
      <c r="F151" s="156" t="s">
        <v>515</v>
      </c>
      <c r="G151" s="156" t="s">
        <v>966</v>
      </c>
      <c r="H151" s="156" t="s">
        <v>1199</v>
      </c>
      <c r="I151" s="156" t="s">
        <v>34</v>
      </c>
      <c r="J151" s="319" t="s">
        <v>216</v>
      </c>
      <c r="K151" s="251" t="s">
        <v>217</v>
      </c>
      <c r="L151" s="325" t="s">
        <v>1091</v>
      </c>
      <c r="M151" s="221" t="s">
        <v>516</v>
      </c>
      <c r="N151" s="226" t="s">
        <v>63</v>
      </c>
      <c r="O151" s="174" t="e">
        <v>#N/A</v>
      </c>
    </row>
    <row r="152" spans="1:15" ht="45">
      <c r="B152" s="164">
        <v>144</v>
      </c>
      <c r="C152" s="225" t="s">
        <v>76</v>
      </c>
      <c r="D152" s="156" t="s">
        <v>488</v>
      </c>
      <c r="E152" s="156">
        <v>58500</v>
      </c>
      <c r="F152" s="156" t="s">
        <v>489</v>
      </c>
      <c r="G152" s="156" t="s">
        <v>966</v>
      </c>
      <c r="H152" s="156" t="s">
        <v>490</v>
      </c>
      <c r="I152" s="156" t="s">
        <v>34</v>
      </c>
      <c r="J152" s="317" t="s">
        <v>216</v>
      </c>
      <c r="K152" s="404" t="s">
        <v>1094</v>
      </c>
      <c r="L152" s="317" t="s">
        <v>166</v>
      </c>
      <c r="M152" s="105" t="s">
        <v>491</v>
      </c>
      <c r="N152" s="262" t="s">
        <v>63</v>
      </c>
      <c r="O152" s="174" t="e">
        <v>#N/A</v>
      </c>
    </row>
    <row r="153" spans="1:15" ht="45">
      <c r="B153" s="164">
        <v>145</v>
      </c>
      <c r="C153" s="225" t="s">
        <v>76</v>
      </c>
      <c r="D153" s="156" t="s">
        <v>492</v>
      </c>
      <c r="E153" s="156">
        <v>58206</v>
      </c>
      <c r="F153" s="156" t="s">
        <v>493</v>
      </c>
      <c r="G153" s="156" t="s">
        <v>966</v>
      </c>
      <c r="H153" s="156" t="s">
        <v>494</v>
      </c>
      <c r="I153" s="156" t="s">
        <v>34</v>
      </c>
      <c r="J153" s="317" t="s">
        <v>495</v>
      </c>
      <c r="K153" s="404" t="s">
        <v>1094</v>
      </c>
      <c r="L153" s="317" t="s">
        <v>166</v>
      </c>
      <c r="M153" s="105" t="s">
        <v>496</v>
      </c>
      <c r="N153" s="101" t="s">
        <v>63</v>
      </c>
      <c r="O153" s="174" t="e">
        <v>#N/A</v>
      </c>
    </row>
    <row r="154" spans="1:15" ht="45">
      <c r="B154" s="164">
        <v>147</v>
      </c>
      <c r="C154" s="225" t="s">
        <v>76</v>
      </c>
      <c r="D154" s="156" t="s">
        <v>272</v>
      </c>
      <c r="E154" s="156">
        <v>58300</v>
      </c>
      <c r="F154" s="156" t="s">
        <v>497</v>
      </c>
      <c r="G154" s="156" t="s">
        <v>966</v>
      </c>
      <c r="H154" s="156" t="s">
        <v>498</v>
      </c>
      <c r="I154" s="156" t="s">
        <v>34</v>
      </c>
      <c r="J154" s="317" t="s">
        <v>216</v>
      </c>
      <c r="K154" s="404" t="s">
        <v>1094</v>
      </c>
      <c r="L154" s="317" t="s">
        <v>166</v>
      </c>
      <c r="M154" s="105" t="s">
        <v>499</v>
      </c>
      <c r="N154" s="101" t="s">
        <v>63</v>
      </c>
      <c r="O154" s="174" t="e">
        <v>#N/A</v>
      </c>
    </row>
    <row r="155" spans="1:15" ht="60">
      <c r="B155" s="164">
        <v>143</v>
      </c>
      <c r="C155" s="573" t="s">
        <v>76</v>
      </c>
      <c r="D155" s="295" t="s">
        <v>214</v>
      </c>
      <c r="E155" s="295">
        <v>58120</v>
      </c>
      <c r="F155" s="295" t="s">
        <v>215</v>
      </c>
      <c r="G155" s="295" t="s">
        <v>202</v>
      </c>
      <c r="H155" s="295" t="s">
        <v>72</v>
      </c>
      <c r="I155" s="295" t="s">
        <v>34</v>
      </c>
      <c r="J155" s="306" t="s">
        <v>216</v>
      </c>
      <c r="K155" s="299" t="s">
        <v>217</v>
      </c>
      <c r="L155" s="308" t="s">
        <v>1091</v>
      </c>
      <c r="M155" s="298" t="s">
        <v>218</v>
      </c>
      <c r="N155" s="301" t="s">
        <v>210</v>
      </c>
      <c r="O155" s="174" t="e">
        <v>#N/A</v>
      </c>
    </row>
    <row r="156" spans="1:15" ht="60">
      <c r="B156" s="164">
        <v>154</v>
      </c>
      <c r="C156" s="573" t="s">
        <v>76</v>
      </c>
      <c r="D156" s="295" t="s">
        <v>169</v>
      </c>
      <c r="E156" s="295" t="s">
        <v>78</v>
      </c>
      <c r="F156" s="295" t="s">
        <v>219</v>
      </c>
      <c r="G156" s="295" t="s">
        <v>202</v>
      </c>
      <c r="H156" s="295" t="s">
        <v>72</v>
      </c>
      <c r="I156" s="295" t="s">
        <v>34</v>
      </c>
      <c r="J156" s="306" t="s">
        <v>216</v>
      </c>
      <c r="K156" s="297" t="s">
        <v>81</v>
      </c>
      <c r="L156" s="308" t="s">
        <v>1091</v>
      </c>
      <c r="M156" s="298" t="s">
        <v>220</v>
      </c>
      <c r="N156" s="301" t="s">
        <v>210</v>
      </c>
      <c r="O156" s="174" t="e">
        <v>#N/A</v>
      </c>
    </row>
    <row r="157" spans="1:15" ht="30">
      <c r="B157" s="164">
        <v>230</v>
      </c>
      <c r="C157" s="225" t="s">
        <v>69</v>
      </c>
      <c r="D157" s="101" t="s">
        <v>377</v>
      </c>
      <c r="E157" s="101">
        <v>89400</v>
      </c>
      <c r="F157" s="101" t="s">
        <v>990</v>
      </c>
      <c r="G157" s="101" t="s">
        <v>410</v>
      </c>
      <c r="H157" s="101" t="s">
        <v>410</v>
      </c>
      <c r="I157" s="101" t="s">
        <v>224</v>
      </c>
      <c r="J157" s="317" t="s">
        <v>1091</v>
      </c>
      <c r="K157" s="244" t="s">
        <v>438</v>
      </c>
      <c r="L157" s="66" t="s">
        <v>1090</v>
      </c>
      <c r="M157" s="105" t="s">
        <v>1002</v>
      </c>
      <c r="N157" s="287" t="s">
        <v>1090</v>
      </c>
      <c r="O157" s="174" t="e">
        <v>#N/A</v>
      </c>
    </row>
    <row r="158" spans="1:15" ht="135">
      <c r="B158" s="164">
        <v>213</v>
      </c>
      <c r="C158" s="225" t="s">
        <v>69</v>
      </c>
      <c r="D158" s="156" t="s">
        <v>160</v>
      </c>
      <c r="E158" s="156" t="s">
        <v>161</v>
      </c>
      <c r="F158" s="156" t="s">
        <v>162</v>
      </c>
      <c r="G158" s="156" t="s">
        <v>410</v>
      </c>
      <c r="H158" s="156" t="s">
        <v>72</v>
      </c>
      <c r="I158" s="156" t="s">
        <v>34</v>
      </c>
      <c r="J158" s="317" t="s">
        <v>211</v>
      </c>
      <c r="K158" s="410" t="s">
        <v>212</v>
      </c>
      <c r="L158" s="318" t="s">
        <v>166</v>
      </c>
      <c r="M158" s="105" t="s">
        <v>413</v>
      </c>
      <c r="N158" s="554" t="s">
        <v>1213</v>
      </c>
      <c r="O158" s="174" t="e">
        <v>#N/A</v>
      </c>
    </row>
    <row r="159" spans="1:15" s="132" customFormat="1" ht="45">
      <c r="A159" s="131"/>
      <c r="B159" s="164">
        <v>233</v>
      </c>
      <c r="C159" s="225" t="s">
        <v>69</v>
      </c>
      <c r="D159" s="221" t="s">
        <v>70</v>
      </c>
      <c r="E159" s="221">
        <v>89100</v>
      </c>
      <c r="F159" s="156" t="s">
        <v>71</v>
      </c>
      <c r="G159" s="156" t="s">
        <v>32</v>
      </c>
      <c r="H159" s="394" t="s">
        <v>72</v>
      </c>
      <c r="I159" s="221" t="s">
        <v>34</v>
      </c>
      <c r="J159" s="317" t="s">
        <v>73</v>
      </c>
      <c r="K159" s="244" t="s">
        <v>74</v>
      </c>
      <c r="L159" s="66" t="s">
        <v>1091</v>
      </c>
      <c r="M159" s="105" t="s">
        <v>75</v>
      </c>
      <c r="N159" s="226" t="s">
        <v>994</v>
      </c>
      <c r="O159" s="174" t="e">
        <v>#N/A</v>
      </c>
    </row>
    <row r="160" spans="1:15" ht="30">
      <c r="B160" s="164">
        <v>235</v>
      </c>
      <c r="C160" s="225" t="s">
        <v>69</v>
      </c>
      <c r="D160" s="101" t="s">
        <v>70</v>
      </c>
      <c r="E160" s="101">
        <v>89100</v>
      </c>
      <c r="F160" s="101" t="s">
        <v>991</v>
      </c>
      <c r="G160" s="101" t="s">
        <v>966</v>
      </c>
      <c r="H160" s="156" t="s">
        <v>1202</v>
      </c>
      <c r="I160" s="156" t="s">
        <v>34</v>
      </c>
      <c r="J160" s="317" t="s">
        <v>73</v>
      </c>
      <c r="K160" s="244" t="s">
        <v>992</v>
      </c>
      <c r="L160" s="317" t="s">
        <v>1091</v>
      </c>
      <c r="M160" s="105" t="s">
        <v>993</v>
      </c>
      <c r="N160" s="287" t="s">
        <v>1090</v>
      </c>
      <c r="O160" s="174" t="e">
        <v>#N/A</v>
      </c>
    </row>
    <row r="161" spans="2:15" ht="30">
      <c r="B161" s="164">
        <v>214</v>
      </c>
      <c r="C161" s="225" t="s">
        <v>69</v>
      </c>
      <c r="D161" s="156" t="s">
        <v>160</v>
      </c>
      <c r="E161" s="156">
        <v>89000</v>
      </c>
      <c r="F161" s="156" t="s">
        <v>469</v>
      </c>
      <c r="G161" s="156" t="s">
        <v>966</v>
      </c>
      <c r="H161" s="156" t="s">
        <v>1202</v>
      </c>
      <c r="I161" s="156" t="s">
        <v>34</v>
      </c>
      <c r="J161" s="319" t="s">
        <v>211</v>
      </c>
      <c r="K161" s="221" t="s">
        <v>470</v>
      </c>
      <c r="L161" s="319" t="s">
        <v>166</v>
      </c>
      <c r="M161" s="221" t="s">
        <v>471</v>
      </c>
      <c r="N161" s="226" t="s">
        <v>63</v>
      </c>
      <c r="O161" s="174" t="e">
        <v>#N/A</v>
      </c>
    </row>
    <row r="162" spans="2:15" ht="30">
      <c r="B162" s="164">
        <v>231</v>
      </c>
      <c r="C162" s="225" t="s">
        <v>69</v>
      </c>
      <c r="D162" s="156" t="s">
        <v>377</v>
      </c>
      <c r="E162" s="156">
        <v>89400</v>
      </c>
      <c r="F162" s="156" t="s">
        <v>472</v>
      </c>
      <c r="G162" s="156" t="s">
        <v>966</v>
      </c>
      <c r="H162" s="156" t="s">
        <v>1202</v>
      </c>
      <c r="I162" s="156" t="s">
        <v>34</v>
      </c>
      <c r="J162" s="319" t="s">
        <v>211</v>
      </c>
      <c r="K162" s="221" t="s">
        <v>473</v>
      </c>
      <c r="L162" s="317" t="s">
        <v>166</v>
      </c>
      <c r="M162" s="221" t="s">
        <v>474</v>
      </c>
      <c r="N162" s="226" t="s">
        <v>63</v>
      </c>
      <c r="O162" s="174" t="e">
        <v>#N/A</v>
      </c>
    </row>
    <row r="163" spans="2:15" ht="30">
      <c r="B163" s="164">
        <v>236</v>
      </c>
      <c r="C163" s="225" t="s">
        <v>69</v>
      </c>
      <c r="D163" s="156" t="s">
        <v>70</v>
      </c>
      <c r="E163" s="156">
        <v>89100</v>
      </c>
      <c r="F163" s="156" t="s">
        <v>475</v>
      </c>
      <c r="G163" s="156" t="s">
        <v>966</v>
      </c>
      <c r="H163" s="156" t="s">
        <v>1202</v>
      </c>
      <c r="I163" s="156" t="s">
        <v>34</v>
      </c>
      <c r="J163" s="317" t="s">
        <v>211</v>
      </c>
      <c r="K163" s="244" t="s">
        <v>476</v>
      </c>
      <c r="L163" s="317" t="s">
        <v>166</v>
      </c>
      <c r="M163" s="105" t="s">
        <v>477</v>
      </c>
      <c r="N163" s="105" t="s">
        <v>63</v>
      </c>
      <c r="O163" s="174" t="e">
        <v>#N/A</v>
      </c>
    </row>
    <row r="164" spans="2:15" ht="30">
      <c r="B164" s="164">
        <v>237</v>
      </c>
      <c r="C164" s="225" t="s">
        <v>69</v>
      </c>
      <c r="D164" s="156" t="s">
        <v>70</v>
      </c>
      <c r="E164" s="156">
        <v>89100</v>
      </c>
      <c r="F164" s="156" t="s">
        <v>478</v>
      </c>
      <c r="G164" s="156" t="s">
        <v>966</v>
      </c>
      <c r="H164" s="156" t="s">
        <v>1202</v>
      </c>
      <c r="I164" s="156" t="s">
        <v>34</v>
      </c>
      <c r="J164" s="319" t="s">
        <v>211</v>
      </c>
      <c r="K164" s="221" t="s">
        <v>479</v>
      </c>
      <c r="L164" s="317" t="s">
        <v>166</v>
      </c>
      <c r="M164" s="221" t="s">
        <v>480</v>
      </c>
      <c r="N164" s="221" t="s">
        <v>63</v>
      </c>
      <c r="O164" s="174" t="e">
        <v>#N/A</v>
      </c>
    </row>
    <row r="165" spans="2:15" ht="30">
      <c r="B165" s="164">
        <v>240</v>
      </c>
      <c r="C165" s="225" t="s">
        <v>69</v>
      </c>
      <c r="D165" s="156" t="s">
        <v>481</v>
      </c>
      <c r="E165" s="156">
        <v>89700</v>
      </c>
      <c r="F165" s="156" t="s">
        <v>482</v>
      </c>
      <c r="G165" s="156" t="s">
        <v>966</v>
      </c>
      <c r="H165" s="156" t="s">
        <v>1203</v>
      </c>
      <c r="I165" s="156" t="s">
        <v>34</v>
      </c>
      <c r="J165" s="317" t="s">
        <v>211</v>
      </c>
      <c r="K165" s="244" t="s">
        <v>483</v>
      </c>
      <c r="L165" s="317" t="s">
        <v>166</v>
      </c>
      <c r="M165" s="105" t="s">
        <v>484</v>
      </c>
      <c r="N165" s="262" t="s">
        <v>63</v>
      </c>
      <c r="O165" s="174" t="e">
        <v>#N/A</v>
      </c>
    </row>
    <row r="166" spans="2:15" ht="45">
      <c r="B166" s="164">
        <v>14</v>
      </c>
      <c r="C166" s="225" t="s">
        <v>49</v>
      </c>
      <c r="D166" s="156" t="s">
        <v>50</v>
      </c>
      <c r="E166" s="156">
        <v>21400</v>
      </c>
      <c r="F166" s="156" t="s">
        <v>485</v>
      </c>
      <c r="G166" s="156" t="s">
        <v>966</v>
      </c>
      <c r="H166" s="156" t="s">
        <v>486</v>
      </c>
      <c r="I166" s="156" t="s">
        <v>34</v>
      </c>
      <c r="J166" s="102" t="s">
        <v>208</v>
      </c>
      <c r="K166" s="244" t="s">
        <v>487</v>
      </c>
      <c r="L166" s="317" t="s">
        <v>166</v>
      </c>
      <c r="M166" s="105" t="s">
        <v>364</v>
      </c>
      <c r="N166" s="262" t="s">
        <v>63</v>
      </c>
      <c r="O166" s="174" t="e">
        <v>#N/A</v>
      </c>
    </row>
    <row r="167" spans="2:15" ht="30">
      <c r="B167" s="164">
        <v>88</v>
      </c>
      <c r="C167" s="225" t="s">
        <v>57</v>
      </c>
      <c r="D167" s="156" t="s">
        <v>58</v>
      </c>
      <c r="E167" s="156">
        <v>70100</v>
      </c>
      <c r="F167" s="156" t="s">
        <v>500</v>
      </c>
      <c r="G167" s="156" t="s">
        <v>966</v>
      </c>
      <c r="H167" s="156" t="s">
        <v>501</v>
      </c>
      <c r="I167" s="156" t="s">
        <v>34</v>
      </c>
      <c r="J167" s="317" t="s">
        <v>954</v>
      </c>
      <c r="K167" s="244" t="s">
        <v>62</v>
      </c>
      <c r="L167" s="317" t="s">
        <v>955</v>
      </c>
      <c r="M167" s="105" t="s">
        <v>956</v>
      </c>
      <c r="N167" s="262" t="s">
        <v>63</v>
      </c>
      <c r="O167" s="174" t="e">
        <v>#N/A</v>
      </c>
    </row>
    <row r="168" spans="2:15" ht="45">
      <c r="B168" s="164">
        <v>95</v>
      </c>
      <c r="C168" s="225" t="s">
        <v>57</v>
      </c>
      <c r="D168" s="156" t="s">
        <v>389</v>
      </c>
      <c r="E168" s="156">
        <v>70200</v>
      </c>
      <c r="F168" s="156" t="s">
        <v>502</v>
      </c>
      <c r="G168" s="156" t="s">
        <v>966</v>
      </c>
      <c r="H168" s="156" t="s">
        <v>503</v>
      </c>
      <c r="I168" s="156" t="s">
        <v>34</v>
      </c>
      <c r="J168" s="317" t="s">
        <v>504</v>
      </c>
      <c r="K168" s="244" t="s">
        <v>505</v>
      </c>
      <c r="L168" s="317" t="s">
        <v>166</v>
      </c>
      <c r="M168" s="105" t="s">
        <v>506</v>
      </c>
      <c r="N168" s="262" t="s">
        <v>63</v>
      </c>
      <c r="O168" s="174" t="e">
        <v>#N/A</v>
      </c>
    </row>
    <row r="169" spans="2:15" ht="45">
      <c r="B169" s="164">
        <v>99</v>
      </c>
      <c r="C169" s="225" t="s">
        <v>57</v>
      </c>
      <c r="D169" s="156" t="s">
        <v>64</v>
      </c>
      <c r="E169" s="156">
        <v>70300</v>
      </c>
      <c r="F169" s="156" t="s">
        <v>507</v>
      </c>
      <c r="G169" s="156" t="s">
        <v>966</v>
      </c>
      <c r="H169" s="156" t="s">
        <v>508</v>
      </c>
      <c r="I169" s="156" t="s">
        <v>34</v>
      </c>
      <c r="J169" s="317" t="s">
        <v>952</v>
      </c>
      <c r="K169" s="244" t="s">
        <v>67</v>
      </c>
      <c r="L169" s="317" t="s">
        <v>150</v>
      </c>
      <c r="M169" s="105" t="s">
        <v>957</v>
      </c>
      <c r="N169" s="101" t="s">
        <v>63</v>
      </c>
      <c r="O169" s="174" t="e">
        <v>#N/A</v>
      </c>
    </row>
    <row r="170" spans="2:15" ht="75">
      <c r="B170" s="164">
        <v>185</v>
      </c>
      <c r="C170" s="225" t="s">
        <v>29</v>
      </c>
      <c r="D170" s="156" t="s">
        <v>41</v>
      </c>
      <c r="E170" s="156">
        <v>71300</v>
      </c>
      <c r="F170" s="156" t="s">
        <v>509</v>
      </c>
      <c r="G170" s="156" t="s">
        <v>966</v>
      </c>
      <c r="H170" s="156" t="s">
        <v>510</v>
      </c>
      <c r="I170" s="156" t="s">
        <v>34</v>
      </c>
      <c r="J170" s="317" t="s">
        <v>511</v>
      </c>
      <c r="K170" s="244" t="s">
        <v>512</v>
      </c>
      <c r="L170" s="317" t="s">
        <v>166</v>
      </c>
      <c r="M170" s="105" t="s">
        <v>513</v>
      </c>
      <c r="N170" s="262" t="s">
        <v>63</v>
      </c>
      <c r="O170" s="174" t="e">
        <v>#N/A</v>
      </c>
    </row>
    <row r="171" spans="2:15" ht="39.6" customHeight="1">
      <c r="B171" s="164">
        <v>209</v>
      </c>
      <c r="C171" s="573" t="s">
        <v>69</v>
      </c>
      <c r="D171" s="295" t="s">
        <v>160</v>
      </c>
      <c r="E171" s="295" t="s">
        <v>161</v>
      </c>
      <c r="F171" s="295" t="s">
        <v>162</v>
      </c>
      <c r="G171" s="295" t="s">
        <v>202</v>
      </c>
      <c r="H171" s="295" t="s">
        <v>72</v>
      </c>
      <c r="I171" s="295" t="s">
        <v>34</v>
      </c>
      <c r="J171" s="306" t="s">
        <v>211</v>
      </c>
      <c r="K171" s="297" t="s">
        <v>212</v>
      </c>
      <c r="L171" s="305" t="s">
        <v>166</v>
      </c>
      <c r="M171" s="298" t="s">
        <v>213</v>
      </c>
      <c r="N171" s="303" t="s">
        <v>210</v>
      </c>
      <c r="O171" s="174" t="e">
        <v>#N/A</v>
      </c>
    </row>
    <row r="172" spans="2:15">
      <c r="B172" s="164">
        <v>212</v>
      </c>
      <c r="C172" s="225" t="s">
        <v>69</v>
      </c>
      <c r="D172" s="101" t="s">
        <v>160</v>
      </c>
      <c r="E172" s="101">
        <v>89000</v>
      </c>
      <c r="F172" s="101" t="s">
        <v>1229</v>
      </c>
      <c r="G172" s="101" t="s">
        <v>410</v>
      </c>
      <c r="H172" s="101" t="s">
        <v>1230</v>
      </c>
      <c r="I172" s="101" t="s">
        <v>224</v>
      </c>
      <c r="J172" s="318" t="s">
        <v>1091</v>
      </c>
      <c r="K172" s="238" t="s">
        <v>989</v>
      </c>
      <c r="L172" s="317" t="s">
        <v>1091</v>
      </c>
      <c r="M172" s="101" t="s">
        <v>1001</v>
      </c>
      <c r="N172" s="284" t="s">
        <v>1090</v>
      </c>
      <c r="O172" s="174" t="e">
        <v>#N/A</v>
      </c>
    </row>
    <row r="173" spans="2:15" ht="60">
      <c r="B173" s="164">
        <v>123</v>
      </c>
      <c r="C173" s="225" t="s">
        <v>83</v>
      </c>
      <c r="D173" s="156" t="s">
        <v>221</v>
      </c>
      <c r="E173" s="156" t="s">
        <v>222</v>
      </c>
      <c r="F173" s="156" t="s">
        <v>1077</v>
      </c>
      <c r="G173" s="156" t="s">
        <v>410</v>
      </c>
      <c r="H173" s="156" t="s">
        <v>223</v>
      </c>
      <c r="I173" s="156" t="s">
        <v>224</v>
      </c>
      <c r="J173" s="317" t="s">
        <v>225</v>
      </c>
      <c r="K173" s="244" t="s">
        <v>226</v>
      </c>
      <c r="L173" s="314" t="s">
        <v>1091</v>
      </c>
      <c r="M173" s="105" t="s">
        <v>416</v>
      </c>
      <c r="N173" s="287" t="s">
        <v>417</v>
      </c>
      <c r="O173" s="174" t="e">
        <v>#N/A</v>
      </c>
    </row>
    <row r="174" spans="2:15" ht="60">
      <c r="B174" s="164">
        <v>121</v>
      </c>
      <c r="C174" s="573" t="s">
        <v>83</v>
      </c>
      <c r="D174" s="295" t="s">
        <v>221</v>
      </c>
      <c r="E174" s="295" t="s">
        <v>222</v>
      </c>
      <c r="F174" s="295" t="s">
        <v>1077</v>
      </c>
      <c r="G174" s="295" t="s">
        <v>202</v>
      </c>
      <c r="H174" s="295" t="s">
        <v>223</v>
      </c>
      <c r="I174" s="295" t="s">
        <v>224</v>
      </c>
      <c r="J174" s="306" t="s">
        <v>225</v>
      </c>
      <c r="K174" s="299" t="s">
        <v>226</v>
      </c>
      <c r="L174" s="315" t="s">
        <v>1091</v>
      </c>
      <c r="M174" s="298" t="s">
        <v>1208</v>
      </c>
      <c r="N174" s="303" t="s">
        <v>205</v>
      </c>
      <c r="O174" s="174" t="e">
        <v>#N/A</v>
      </c>
    </row>
    <row r="175" spans="2:15" ht="30">
      <c r="B175" s="164">
        <v>79</v>
      </c>
      <c r="C175" s="667" t="s">
        <v>101</v>
      </c>
      <c r="D175" s="156" t="s">
        <v>227</v>
      </c>
      <c r="E175" s="156" t="s">
        <v>228</v>
      </c>
      <c r="F175" s="156" t="s">
        <v>1076</v>
      </c>
      <c r="G175" s="156" t="s">
        <v>410</v>
      </c>
      <c r="H175" s="221" t="s">
        <v>230</v>
      </c>
      <c r="I175" s="221" t="s">
        <v>224</v>
      </c>
      <c r="J175" s="317" t="s">
        <v>231</v>
      </c>
      <c r="K175" s="244" t="s">
        <v>232</v>
      </c>
      <c r="L175" s="314" t="s">
        <v>1091</v>
      </c>
      <c r="M175" s="105" t="s">
        <v>418</v>
      </c>
      <c r="N175" s="287" t="s">
        <v>419</v>
      </c>
      <c r="O175" s="174" t="e">
        <v>#N/A</v>
      </c>
    </row>
    <row r="176" spans="2:15" ht="30">
      <c r="B176" s="164">
        <v>70</v>
      </c>
      <c r="C176" s="667" t="s">
        <v>101</v>
      </c>
      <c r="D176" s="156" t="s">
        <v>519</v>
      </c>
      <c r="E176" s="156">
        <v>25500</v>
      </c>
      <c r="F176" s="156" t="s">
        <v>520</v>
      </c>
      <c r="G176" s="156" t="s">
        <v>966</v>
      </c>
      <c r="H176" s="221" t="s">
        <v>1194</v>
      </c>
      <c r="I176" s="221" t="s">
        <v>224</v>
      </c>
      <c r="J176" s="317" t="s">
        <v>231</v>
      </c>
      <c r="K176" s="244" t="s">
        <v>232</v>
      </c>
      <c r="L176" s="325" t="s">
        <v>1091</v>
      </c>
      <c r="M176" s="105" t="s">
        <v>521</v>
      </c>
      <c r="N176" s="101" t="s">
        <v>63</v>
      </c>
      <c r="O176" s="174" t="e">
        <v>#N/A</v>
      </c>
    </row>
    <row r="177" spans="2:15" ht="60">
      <c r="B177" s="164">
        <v>76</v>
      </c>
      <c r="C177" s="681" t="s">
        <v>101</v>
      </c>
      <c r="D177" s="304" t="s">
        <v>227</v>
      </c>
      <c r="E177" s="304" t="s">
        <v>228</v>
      </c>
      <c r="F177" s="304" t="s">
        <v>229</v>
      </c>
      <c r="G177" s="304" t="s">
        <v>202</v>
      </c>
      <c r="H177" s="304" t="s">
        <v>230</v>
      </c>
      <c r="I177" s="304" t="s">
        <v>224</v>
      </c>
      <c r="J177" s="306" t="s">
        <v>231</v>
      </c>
      <c r="K177" s="299" t="s">
        <v>232</v>
      </c>
      <c r="L177" s="307" t="s">
        <v>1091</v>
      </c>
      <c r="M177" s="298" t="s">
        <v>233</v>
      </c>
      <c r="N177" s="303" t="s">
        <v>210</v>
      </c>
      <c r="O177" s="174" t="e">
        <v>#N/A</v>
      </c>
    </row>
    <row r="178" spans="2:15" ht="30">
      <c r="B178" s="164">
        <v>206</v>
      </c>
      <c r="C178" s="667" t="s">
        <v>108</v>
      </c>
      <c r="D178" s="221" t="s">
        <v>407</v>
      </c>
      <c r="E178" s="221">
        <v>90400</v>
      </c>
      <c r="F178" s="221" t="s">
        <v>522</v>
      </c>
      <c r="G178" s="156" t="s">
        <v>966</v>
      </c>
      <c r="H178" s="221" t="s">
        <v>1201</v>
      </c>
      <c r="I178" s="221" t="s">
        <v>34</v>
      </c>
      <c r="J178" s="317" t="s">
        <v>422</v>
      </c>
      <c r="K178" s="244" t="s">
        <v>523</v>
      </c>
      <c r="L178" s="317" t="s">
        <v>166</v>
      </c>
      <c r="M178" s="105" t="s">
        <v>524</v>
      </c>
      <c r="N178" s="262" t="s">
        <v>63</v>
      </c>
      <c r="O178" s="174" t="s">
        <v>814</v>
      </c>
    </row>
    <row r="179" spans="2:15" ht="75">
      <c r="B179" s="164">
        <v>201</v>
      </c>
      <c r="C179" s="225" t="s">
        <v>108</v>
      </c>
      <c r="D179" s="156" t="s">
        <v>109</v>
      </c>
      <c r="E179" s="156" t="s">
        <v>420</v>
      </c>
      <c r="F179" s="156" t="s">
        <v>421</v>
      </c>
      <c r="G179" s="156" t="s">
        <v>410</v>
      </c>
      <c r="H179" s="156" t="s">
        <v>1163</v>
      </c>
      <c r="I179" s="156" t="s">
        <v>34</v>
      </c>
      <c r="J179" s="317" t="s">
        <v>1103</v>
      </c>
      <c r="K179" s="244" t="s">
        <v>1104</v>
      </c>
      <c r="L179" s="317" t="s">
        <v>1105</v>
      </c>
      <c r="M179" s="105" t="s">
        <v>1205</v>
      </c>
      <c r="N179" s="287" t="s">
        <v>423</v>
      </c>
      <c r="O179" s="174" t="s">
        <v>814</v>
      </c>
    </row>
    <row r="180" spans="2:15" ht="45">
      <c r="B180" s="164">
        <v>53</v>
      </c>
      <c r="C180" s="225" t="s">
        <v>101</v>
      </c>
      <c r="D180" s="156" t="s">
        <v>137</v>
      </c>
      <c r="E180" s="156" t="s">
        <v>138</v>
      </c>
      <c r="F180" s="156" t="s">
        <v>424</v>
      </c>
      <c r="G180" s="156" t="s">
        <v>410</v>
      </c>
      <c r="H180" s="156" t="s">
        <v>234</v>
      </c>
      <c r="I180" s="156" t="s">
        <v>34</v>
      </c>
      <c r="J180" s="317" t="s">
        <v>235</v>
      </c>
      <c r="K180" s="244" t="s">
        <v>236</v>
      </c>
      <c r="L180" s="317" t="s">
        <v>166</v>
      </c>
      <c r="M180" s="105" t="s">
        <v>425</v>
      </c>
      <c r="N180" s="287" t="s">
        <v>1117</v>
      </c>
      <c r="O180" s="174" t="e">
        <v>#N/A</v>
      </c>
    </row>
    <row r="181" spans="2:15" ht="30">
      <c r="B181" s="164">
        <v>46</v>
      </c>
      <c r="C181" s="225" t="s">
        <v>101</v>
      </c>
      <c r="D181" s="156" t="s">
        <v>525</v>
      </c>
      <c r="E181" s="156">
        <v>25110</v>
      </c>
      <c r="F181" s="156" t="s">
        <v>526</v>
      </c>
      <c r="G181" s="156" t="s">
        <v>966</v>
      </c>
      <c r="H181" s="156" t="s">
        <v>1192</v>
      </c>
      <c r="I181" s="156" t="s">
        <v>34</v>
      </c>
      <c r="J181" s="317" t="s">
        <v>235</v>
      </c>
      <c r="K181" s="244" t="s">
        <v>527</v>
      </c>
      <c r="L181" s="317" t="s">
        <v>166</v>
      </c>
      <c r="M181" s="105" t="s">
        <v>528</v>
      </c>
      <c r="N181" s="292" t="s">
        <v>63</v>
      </c>
      <c r="O181" s="174" t="e">
        <v>#N/A</v>
      </c>
    </row>
    <row r="182" spans="2:15" ht="30">
      <c r="B182" s="164">
        <v>55</v>
      </c>
      <c r="C182" s="225" t="s">
        <v>101</v>
      </c>
      <c r="D182" s="156" t="s">
        <v>137</v>
      </c>
      <c r="E182" s="156">
        <v>25000</v>
      </c>
      <c r="F182" s="156" t="s">
        <v>529</v>
      </c>
      <c r="G182" s="156" t="s">
        <v>966</v>
      </c>
      <c r="H182" s="156" t="s">
        <v>1192</v>
      </c>
      <c r="I182" s="156" t="s">
        <v>34</v>
      </c>
      <c r="J182" s="317" t="s">
        <v>235</v>
      </c>
      <c r="K182" s="244" t="s">
        <v>530</v>
      </c>
      <c r="L182" s="318" t="s">
        <v>166</v>
      </c>
      <c r="M182" s="105" t="s">
        <v>531</v>
      </c>
      <c r="N182" s="262" t="s">
        <v>63</v>
      </c>
      <c r="O182" s="174" t="e">
        <v>#N/A</v>
      </c>
    </row>
    <row r="183" spans="2:15" ht="30">
      <c r="B183" s="164">
        <v>56</v>
      </c>
      <c r="C183" s="225" t="s">
        <v>101</v>
      </c>
      <c r="D183" s="156" t="s">
        <v>137</v>
      </c>
      <c r="E183" s="156">
        <v>25000</v>
      </c>
      <c r="F183" s="156" t="s">
        <v>532</v>
      </c>
      <c r="G183" s="156" t="s">
        <v>966</v>
      </c>
      <c r="H183" s="156" t="s">
        <v>1192</v>
      </c>
      <c r="I183" s="156" t="s">
        <v>34</v>
      </c>
      <c r="J183" s="317" t="s">
        <v>235</v>
      </c>
      <c r="K183" s="244" t="s">
        <v>533</v>
      </c>
      <c r="L183" s="317" t="s">
        <v>166</v>
      </c>
      <c r="M183" s="105" t="s">
        <v>534</v>
      </c>
      <c r="N183" s="292" t="s">
        <v>63</v>
      </c>
      <c r="O183" s="174" t="e">
        <v>#N/A</v>
      </c>
    </row>
    <row r="184" spans="2:15" ht="30">
      <c r="B184" s="164">
        <v>57</v>
      </c>
      <c r="C184" s="225" t="s">
        <v>101</v>
      </c>
      <c r="D184" s="156" t="s">
        <v>137</v>
      </c>
      <c r="E184" s="156">
        <v>25000</v>
      </c>
      <c r="F184" s="156" t="s">
        <v>535</v>
      </c>
      <c r="G184" s="156" t="s">
        <v>966</v>
      </c>
      <c r="H184" s="156" t="s">
        <v>1192</v>
      </c>
      <c r="I184" s="156" t="s">
        <v>34</v>
      </c>
      <c r="J184" s="319" t="s">
        <v>235</v>
      </c>
      <c r="K184" s="221" t="s">
        <v>536</v>
      </c>
      <c r="L184" s="319" t="s">
        <v>166</v>
      </c>
      <c r="M184" s="221" t="s">
        <v>537</v>
      </c>
      <c r="N184" s="389" t="s">
        <v>63</v>
      </c>
      <c r="O184" s="174" t="e">
        <v>#N/A</v>
      </c>
    </row>
    <row r="185" spans="2:15" ht="30">
      <c r="B185" s="164">
        <v>59</v>
      </c>
      <c r="C185" s="667" t="s">
        <v>101</v>
      </c>
      <c r="D185" s="221" t="s">
        <v>137</v>
      </c>
      <c r="E185" s="221">
        <v>25000</v>
      </c>
      <c r="F185" s="221" t="s">
        <v>540</v>
      </c>
      <c r="G185" s="221" t="s">
        <v>966</v>
      </c>
      <c r="H185" s="221" t="s">
        <v>1192</v>
      </c>
      <c r="I185" s="221" t="s">
        <v>34</v>
      </c>
      <c r="J185" s="319" t="s">
        <v>235</v>
      </c>
      <c r="K185" s="221" t="s">
        <v>541</v>
      </c>
      <c r="L185" s="319" t="s">
        <v>166</v>
      </c>
      <c r="M185" s="221" t="s">
        <v>542</v>
      </c>
      <c r="N185" s="389" t="s">
        <v>63</v>
      </c>
      <c r="O185" s="174" t="e">
        <v>#N/A</v>
      </c>
    </row>
    <row r="186" spans="2:15" ht="30">
      <c r="B186" s="164">
        <v>62</v>
      </c>
      <c r="C186" s="225" t="s">
        <v>101</v>
      </c>
      <c r="D186" s="156" t="s">
        <v>543</v>
      </c>
      <c r="E186" s="156">
        <v>25220</v>
      </c>
      <c r="F186" s="156" t="s">
        <v>544</v>
      </c>
      <c r="G186" s="156" t="s">
        <v>966</v>
      </c>
      <c r="H186" s="156" t="s">
        <v>1192</v>
      </c>
      <c r="I186" s="156" t="s">
        <v>34</v>
      </c>
      <c r="J186" s="322" t="s">
        <v>235</v>
      </c>
      <c r="K186" s="156" t="s">
        <v>545</v>
      </c>
      <c r="L186" s="322" t="s">
        <v>166</v>
      </c>
      <c r="M186" s="221" t="s">
        <v>546</v>
      </c>
      <c r="N186" s="389" t="s">
        <v>63</v>
      </c>
      <c r="O186" s="174" t="e">
        <v>#N/A</v>
      </c>
    </row>
    <row r="187" spans="2:15" ht="30">
      <c r="B187" s="164">
        <v>71</v>
      </c>
      <c r="C187" s="225" t="s">
        <v>101</v>
      </c>
      <c r="D187" s="156" t="s">
        <v>519</v>
      </c>
      <c r="E187" s="156">
        <v>25500</v>
      </c>
      <c r="F187" s="156" t="s">
        <v>547</v>
      </c>
      <c r="G187" s="156" t="s">
        <v>966</v>
      </c>
      <c r="H187" s="156" t="s">
        <v>1192</v>
      </c>
      <c r="I187" s="156" t="s">
        <v>34</v>
      </c>
      <c r="J187" s="317" t="s">
        <v>235</v>
      </c>
      <c r="K187" s="244" t="s">
        <v>548</v>
      </c>
      <c r="L187" s="318" t="s">
        <v>166</v>
      </c>
      <c r="M187" s="105" t="s">
        <v>549</v>
      </c>
      <c r="N187" s="101" t="s">
        <v>63</v>
      </c>
      <c r="O187" s="174" t="e">
        <v>#N/A</v>
      </c>
    </row>
    <row r="188" spans="2:15" ht="45">
      <c r="B188" s="164">
        <v>80</v>
      </c>
      <c r="C188" s="225" t="s">
        <v>101</v>
      </c>
      <c r="D188" s="156" t="s">
        <v>227</v>
      </c>
      <c r="E188" s="156">
        <v>25300</v>
      </c>
      <c r="F188" s="156" t="s">
        <v>550</v>
      </c>
      <c r="G188" s="156" t="s">
        <v>966</v>
      </c>
      <c r="H188" s="156" t="s">
        <v>1192</v>
      </c>
      <c r="I188" s="156" t="s">
        <v>34</v>
      </c>
      <c r="J188" s="317" t="s">
        <v>235</v>
      </c>
      <c r="K188" s="244" t="s">
        <v>551</v>
      </c>
      <c r="L188" s="317" t="s">
        <v>166</v>
      </c>
      <c r="M188" s="105" t="s">
        <v>552</v>
      </c>
      <c r="N188" s="262" t="s">
        <v>63</v>
      </c>
      <c r="O188" s="174" t="e">
        <v>#N/A</v>
      </c>
    </row>
    <row r="189" spans="2:15" ht="30">
      <c r="B189" s="164">
        <v>83</v>
      </c>
      <c r="C189" s="225" t="s">
        <v>101</v>
      </c>
      <c r="D189" s="156" t="s">
        <v>553</v>
      </c>
      <c r="E189" s="156">
        <v>25440</v>
      </c>
      <c r="F189" s="156" t="s">
        <v>554</v>
      </c>
      <c r="G189" s="156" t="s">
        <v>966</v>
      </c>
      <c r="H189" s="156" t="s">
        <v>1195</v>
      </c>
      <c r="I189" s="156" t="s">
        <v>34</v>
      </c>
      <c r="J189" s="317" t="s">
        <v>235</v>
      </c>
      <c r="K189" s="244" t="s">
        <v>555</v>
      </c>
      <c r="L189" s="317" t="s">
        <v>166</v>
      </c>
      <c r="M189" s="105" t="s">
        <v>556</v>
      </c>
      <c r="N189" s="262" t="s">
        <v>63</v>
      </c>
      <c r="O189" s="174" t="e">
        <v>#N/A</v>
      </c>
    </row>
    <row r="190" spans="2:15" ht="60">
      <c r="B190" s="164">
        <v>49</v>
      </c>
      <c r="C190" s="573" t="s">
        <v>101</v>
      </c>
      <c r="D190" s="295" t="s">
        <v>137</v>
      </c>
      <c r="E190" s="295">
        <v>25000</v>
      </c>
      <c r="F190" s="295" t="s">
        <v>1119</v>
      </c>
      <c r="G190" s="295" t="s">
        <v>202</v>
      </c>
      <c r="H190" s="295" t="s">
        <v>234</v>
      </c>
      <c r="I190" s="295" t="s">
        <v>34</v>
      </c>
      <c r="J190" s="306" t="s">
        <v>235</v>
      </c>
      <c r="K190" s="299" t="s">
        <v>236</v>
      </c>
      <c r="L190" s="305" t="s">
        <v>166</v>
      </c>
      <c r="M190" s="298" t="s">
        <v>1120</v>
      </c>
      <c r="N190" s="303" t="s">
        <v>1033</v>
      </c>
      <c r="O190" s="174" t="e">
        <v>#N/A</v>
      </c>
    </row>
    <row r="191" spans="2:15" ht="135">
      <c r="B191" s="164">
        <v>168</v>
      </c>
      <c r="C191" s="225" t="s">
        <v>29</v>
      </c>
      <c r="D191" s="156" t="s">
        <v>152</v>
      </c>
      <c r="E191" s="156" t="s">
        <v>95</v>
      </c>
      <c r="F191" s="156" t="s">
        <v>243</v>
      </c>
      <c r="G191" s="156" t="s">
        <v>410</v>
      </c>
      <c r="H191" s="156" t="s">
        <v>97</v>
      </c>
      <c r="I191" s="156" t="s">
        <v>34</v>
      </c>
      <c r="J191" s="317" t="s">
        <v>98</v>
      </c>
      <c r="K191" s="244" t="s">
        <v>99</v>
      </c>
      <c r="L191" s="318" t="s">
        <v>157</v>
      </c>
      <c r="M191" s="101" t="s">
        <v>428</v>
      </c>
      <c r="N191" s="287" t="s">
        <v>429</v>
      </c>
      <c r="O191" s="174" t="e">
        <v>#N/A</v>
      </c>
    </row>
    <row r="192" spans="2:15" ht="30">
      <c r="B192" s="164">
        <v>164</v>
      </c>
      <c r="C192" s="667" t="s">
        <v>29</v>
      </c>
      <c r="D192" s="221" t="s">
        <v>565</v>
      </c>
      <c r="E192" s="221">
        <v>71150</v>
      </c>
      <c r="F192" s="156" t="s">
        <v>566</v>
      </c>
      <c r="G192" s="221" t="s">
        <v>966</v>
      </c>
      <c r="H192" s="221" t="s">
        <v>1200</v>
      </c>
      <c r="I192" s="221" t="s">
        <v>34</v>
      </c>
      <c r="J192" s="317" t="s">
        <v>98</v>
      </c>
      <c r="K192" s="244" t="s">
        <v>567</v>
      </c>
      <c r="L192" s="317" t="s">
        <v>157</v>
      </c>
      <c r="M192" s="105" t="s">
        <v>568</v>
      </c>
      <c r="N192" s="262" t="s">
        <v>63</v>
      </c>
      <c r="O192" s="174" t="e">
        <v>#N/A</v>
      </c>
    </row>
    <row r="193" spans="1:15" ht="45">
      <c r="B193" s="164">
        <v>174</v>
      </c>
      <c r="C193" s="225" t="s">
        <v>29</v>
      </c>
      <c r="D193" s="156" t="s">
        <v>94</v>
      </c>
      <c r="E193" s="156" t="s">
        <v>95</v>
      </c>
      <c r="F193" s="156" t="s">
        <v>96</v>
      </c>
      <c r="G193" s="156" t="s">
        <v>32</v>
      </c>
      <c r="H193" s="156" t="s">
        <v>97</v>
      </c>
      <c r="I193" s="156" t="s">
        <v>34</v>
      </c>
      <c r="J193" s="317" t="s">
        <v>98</v>
      </c>
      <c r="K193" s="244" t="s">
        <v>99</v>
      </c>
      <c r="L193" s="66" t="s">
        <v>1090</v>
      </c>
      <c r="M193" s="105" t="s">
        <v>100</v>
      </c>
      <c r="N193" s="149" t="s">
        <v>1090</v>
      </c>
      <c r="O193" s="174" t="e">
        <v>#N/A</v>
      </c>
    </row>
    <row r="194" spans="1:15" ht="60">
      <c r="B194" s="164">
        <v>166</v>
      </c>
      <c r="C194" s="573" t="s">
        <v>29</v>
      </c>
      <c r="D194" s="295" t="s">
        <v>152</v>
      </c>
      <c r="E194" s="295" t="s">
        <v>95</v>
      </c>
      <c r="F194" s="295" t="s">
        <v>243</v>
      </c>
      <c r="G194" s="295" t="s">
        <v>202</v>
      </c>
      <c r="H194" s="295" t="s">
        <v>97</v>
      </c>
      <c r="I194" s="295" t="s">
        <v>34</v>
      </c>
      <c r="J194" s="306" t="s">
        <v>98</v>
      </c>
      <c r="K194" s="299" t="s">
        <v>99</v>
      </c>
      <c r="L194" s="306" t="s">
        <v>157</v>
      </c>
      <c r="M194" s="298" t="s">
        <v>244</v>
      </c>
      <c r="N194" s="303" t="s">
        <v>210</v>
      </c>
      <c r="O194" s="174" t="e">
        <v>#N/A</v>
      </c>
    </row>
    <row r="195" spans="1:15" ht="30">
      <c r="B195" s="164">
        <v>20</v>
      </c>
      <c r="C195" s="667" t="s">
        <v>49</v>
      </c>
      <c r="D195" s="221" t="s">
        <v>186</v>
      </c>
      <c r="E195" s="221" t="s">
        <v>187</v>
      </c>
      <c r="F195" s="105" t="s">
        <v>1032</v>
      </c>
      <c r="G195" s="221" t="s">
        <v>410</v>
      </c>
      <c r="H195" s="105" t="s">
        <v>1220</v>
      </c>
      <c r="I195" s="221" t="s">
        <v>34</v>
      </c>
      <c r="J195" s="317" t="s">
        <v>1129</v>
      </c>
      <c r="K195" s="244" t="s">
        <v>1128</v>
      </c>
      <c r="L195" s="317" t="s">
        <v>192</v>
      </c>
      <c r="M195" s="105" t="s">
        <v>1030</v>
      </c>
      <c r="N195" s="287" t="s">
        <v>1031</v>
      </c>
      <c r="O195" s="174" t="e">
        <v>#N/A</v>
      </c>
    </row>
    <row r="196" spans="1:15" ht="45">
      <c r="B196" s="164">
        <v>30</v>
      </c>
      <c r="C196" s="225" t="s">
        <v>49</v>
      </c>
      <c r="D196" s="156" t="s">
        <v>186</v>
      </c>
      <c r="E196" s="156">
        <v>21000</v>
      </c>
      <c r="F196" s="156" t="s">
        <v>1013</v>
      </c>
      <c r="G196" s="156" t="s">
        <v>1083</v>
      </c>
      <c r="H196" s="156" t="s">
        <v>1082</v>
      </c>
      <c r="I196" s="156" t="s">
        <v>224</v>
      </c>
      <c r="J196" s="317" t="s">
        <v>1026</v>
      </c>
      <c r="K196" s="244" t="s">
        <v>1024</v>
      </c>
      <c r="L196" s="317" t="s">
        <v>1025</v>
      </c>
      <c r="M196" s="105" t="s">
        <v>1015</v>
      </c>
      <c r="N196" s="278" t="s">
        <v>1014</v>
      </c>
      <c r="O196" s="174" t="e">
        <v>#N/A</v>
      </c>
    </row>
    <row r="197" spans="1:15" ht="90">
      <c r="B197" s="164">
        <v>68</v>
      </c>
      <c r="C197" s="225" t="s">
        <v>101</v>
      </c>
      <c r="D197" s="156" t="s">
        <v>182</v>
      </c>
      <c r="E197" s="156" t="s">
        <v>103</v>
      </c>
      <c r="F197" s="156" t="s">
        <v>430</v>
      </c>
      <c r="G197" s="156" t="s">
        <v>410</v>
      </c>
      <c r="H197" s="156" t="s">
        <v>1162</v>
      </c>
      <c r="I197" s="156" t="s">
        <v>34</v>
      </c>
      <c r="J197" s="319" t="s">
        <v>980</v>
      </c>
      <c r="K197" s="256" t="s">
        <v>979</v>
      </c>
      <c r="L197" s="317" t="s">
        <v>106</v>
      </c>
      <c r="M197" s="261" t="s">
        <v>1204</v>
      </c>
      <c r="N197" s="285" t="s">
        <v>431</v>
      </c>
      <c r="O197" s="174" t="s">
        <v>814</v>
      </c>
    </row>
    <row r="198" spans="1:15" ht="30">
      <c r="B198" s="164">
        <v>63</v>
      </c>
      <c r="C198" s="225" t="s">
        <v>101</v>
      </c>
      <c r="D198" s="156" t="s">
        <v>570</v>
      </c>
      <c r="E198" s="156">
        <v>25250</v>
      </c>
      <c r="F198" s="156" t="s">
        <v>571</v>
      </c>
      <c r="G198" s="156" t="s">
        <v>966</v>
      </c>
      <c r="H198" s="156" t="s">
        <v>1161</v>
      </c>
      <c r="I198" s="156" t="s">
        <v>34</v>
      </c>
      <c r="J198" s="317" t="s">
        <v>1158</v>
      </c>
      <c r="K198" s="244" t="s">
        <v>1159</v>
      </c>
      <c r="L198" s="318" t="s">
        <v>106</v>
      </c>
      <c r="M198" s="105" t="s">
        <v>572</v>
      </c>
      <c r="N198" s="262" t="s">
        <v>63</v>
      </c>
      <c r="O198" s="174" t="e">
        <v>#N/A</v>
      </c>
    </row>
    <row r="199" spans="1:15" ht="30">
      <c r="B199" s="164">
        <v>73</v>
      </c>
      <c r="C199" s="225" t="s">
        <v>101</v>
      </c>
      <c r="D199" s="156" t="s">
        <v>573</v>
      </c>
      <c r="E199" s="156">
        <v>25290</v>
      </c>
      <c r="F199" s="156" t="s">
        <v>574</v>
      </c>
      <c r="G199" s="156" t="s">
        <v>966</v>
      </c>
      <c r="H199" s="156" t="s">
        <v>1161</v>
      </c>
      <c r="I199" s="156" t="s">
        <v>34</v>
      </c>
      <c r="J199" s="317" t="s">
        <v>110</v>
      </c>
      <c r="K199" s="238" t="s">
        <v>575</v>
      </c>
      <c r="L199" s="318" t="s">
        <v>106</v>
      </c>
      <c r="M199" s="101" t="s">
        <v>576</v>
      </c>
      <c r="N199" s="101" t="s">
        <v>63</v>
      </c>
      <c r="O199" s="174" t="e">
        <v>#N/A</v>
      </c>
    </row>
    <row r="200" spans="1:15" ht="45">
      <c r="B200" s="164">
        <v>75</v>
      </c>
      <c r="C200" s="225" t="s">
        <v>101</v>
      </c>
      <c r="D200" s="156" t="s">
        <v>577</v>
      </c>
      <c r="E200" s="156">
        <v>25100</v>
      </c>
      <c r="F200" s="156" t="s">
        <v>983</v>
      </c>
      <c r="G200" s="156" t="s">
        <v>966</v>
      </c>
      <c r="H200" s="156" t="s">
        <v>1161</v>
      </c>
      <c r="I200" s="156" t="s">
        <v>34</v>
      </c>
      <c r="J200" s="318" t="s">
        <v>980</v>
      </c>
      <c r="K200" s="238" t="s">
        <v>982</v>
      </c>
      <c r="L200" s="317" t="s">
        <v>106</v>
      </c>
      <c r="M200" s="101" t="s">
        <v>984</v>
      </c>
      <c r="N200" s="101" t="s">
        <v>63</v>
      </c>
      <c r="O200" s="174" t="e">
        <v>#N/A</v>
      </c>
    </row>
    <row r="201" spans="1:15" ht="30">
      <c r="B201" s="164">
        <v>204</v>
      </c>
      <c r="C201" s="225" t="s">
        <v>108</v>
      </c>
      <c r="D201" s="156" t="s">
        <v>569</v>
      </c>
      <c r="E201" s="156">
        <v>90100</v>
      </c>
      <c r="F201" s="156" t="s">
        <v>1189</v>
      </c>
      <c r="G201" s="156" t="s">
        <v>966</v>
      </c>
      <c r="H201" s="156" t="s">
        <v>1161</v>
      </c>
      <c r="I201" s="156" t="s">
        <v>34</v>
      </c>
      <c r="J201" s="317" t="s">
        <v>1160</v>
      </c>
      <c r="K201" s="244" t="s">
        <v>985</v>
      </c>
      <c r="L201" s="317" t="s">
        <v>106</v>
      </c>
      <c r="M201" s="105" t="s">
        <v>984</v>
      </c>
      <c r="N201" s="262" t="s">
        <v>63</v>
      </c>
      <c r="O201" s="174" t="s">
        <v>814</v>
      </c>
    </row>
    <row r="202" spans="1:15" ht="30">
      <c r="B202" s="164">
        <v>65</v>
      </c>
      <c r="C202" s="225" t="s">
        <v>101</v>
      </c>
      <c r="D202" s="156" t="s">
        <v>102</v>
      </c>
      <c r="E202" s="156">
        <v>25120</v>
      </c>
      <c r="F202" s="156" t="s">
        <v>104</v>
      </c>
      <c r="G202" s="156" t="s">
        <v>32</v>
      </c>
      <c r="H202" s="156" t="s">
        <v>1162</v>
      </c>
      <c r="I202" s="156" t="s">
        <v>34</v>
      </c>
      <c r="J202" s="317" t="s">
        <v>105</v>
      </c>
      <c r="K202" s="244" t="s">
        <v>981</v>
      </c>
      <c r="L202" s="102" t="s">
        <v>106</v>
      </c>
      <c r="M202" s="105" t="s">
        <v>107</v>
      </c>
      <c r="N202" s="149" t="s">
        <v>1090</v>
      </c>
      <c r="O202" s="174" t="e">
        <v>#N/A</v>
      </c>
    </row>
    <row r="203" spans="1:15" ht="30">
      <c r="B203" s="164">
        <v>90</v>
      </c>
      <c r="C203" s="682" t="s">
        <v>57</v>
      </c>
      <c r="D203" s="101" t="s">
        <v>111</v>
      </c>
      <c r="E203" s="101">
        <v>70400</v>
      </c>
      <c r="F203" s="101" t="s">
        <v>112</v>
      </c>
      <c r="G203" s="156" t="s">
        <v>32</v>
      </c>
      <c r="H203" s="156" t="s">
        <v>1162</v>
      </c>
      <c r="I203" s="156" t="s">
        <v>34</v>
      </c>
      <c r="J203" s="317" t="s">
        <v>980</v>
      </c>
      <c r="K203" s="105" t="s">
        <v>113</v>
      </c>
      <c r="L203" s="102" t="s">
        <v>106</v>
      </c>
      <c r="M203" s="105" t="s">
        <v>114</v>
      </c>
      <c r="N203" s="149" t="s">
        <v>1091</v>
      </c>
      <c r="O203" s="174" t="s">
        <v>814</v>
      </c>
    </row>
    <row r="204" spans="1:15" ht="45">
      <c r="A204" s="138"/>
      <c r="B204" s="164">
        <v>197</v>
      </c>
      <c r="C204" s="573" t="s">
        <v>108</v>
      </c>
      <c r="D204" s="295" t="s">
        <v>109</v>
      </c>
      <c r="E204" s="295">
        <v>90000</v>
      </c>
      <c r="F204" s="295" t="s">
        <v>245</v>
      </c>
      <c r="G204" s="295" t="s">
        <v>202</v>
      </c>
      <c r="H204" s="295" t="s">
        <v>1162</v>
      </c>
      <c r="I204" s="295" t="s">
        <v>34</v>
      </c>
      <c r="J204" s="306" t="s">
        <v>1160</v>
      </c>
      <c r="K204" s="299" t="s">
        <v>246</v>
      </c>
      <c r="L204" s="305" t="s">
        <v>106</v>
      </c>
      <c r="M204" s="298" t="s">
        <v>247</v>
      </c>
      <c r="N204" s="556" t="s">
        <v>237</v>
      </c>
      <c r="O204" s="174" t="s">
        <v>814</v>
      </c>
    </row>
    <row r="205" spans="1:15" ht="75">
      <c r="B205" s="164">
        <v>137</v>
      </c>
      <c r="C205" s="225" t="s">
        <v>83</v>
      </c>
      <c r="D205" s="156" t="s">
        <v>115</v>
      </c>
      <c r="E205" s="156">
        <v>39200</v>
      </c>
      <c r="F205" s="156" t="s">
        <v>116</v>
      </c>
      <c r="G205" s="156" t="s">
        <v>32</v>
      </c>
      <c r="H205" s="156" t="s">
        <v>117</v>
      </c>
      <c r="I205" s="156" t="s">
        <v>34</v>
      </c>
      <c r="J205" s="317" t="s">
        <v>118</v>
      </c>
      <c r="K205" s="251" t="s">
        <v>119</v>
      </c>
      <c r="L205" s="569" t="s">
        <v>1131</v>
      </c>
      <c r="M205" s="221" t="s">
        <v>1140</v>
      </c>
      <c r="N205" s="278" t="s">
        <v>1141</v>
      </c>
      <c r="O205" s="174" t="e">
        <v>#N/A</v>
      </c>
    </row>
    <row r="206" spans="1:15" ht="95.45" customHeight="1">
      <c r="B206" s="164">
        <v>254</v>
      </c>
      <c r="C206" s="573" t="s">
        <v>83</v>
      </c>
      <c r="D206" s="295" t="s">
        <v>194</v>
      </c>
      <c r="E206" s="295" t="s">
        <v>195</v>
      </c>
      <c r="F206" s="295" t="s">
        <v>1142</v>
      </c>
      <c r="G206" s="295" t="s">
        <v>202</v>
      </c>
      <c r="H206" s="295" t="s">
        <v>117</v>
      </c>
      <c r="I206" s="295" t="s">
        <v>34</v>
      </c>
      <c r="J206" s="306" t="s">
        <v>118</v>
      </c>
      <c r="K206" s="299" t="s">
        <v>119</v>
      </c>
      <c r="L206" s="306" t="s">
        <v>1131</v>
      </c>
      <c r="M206" s="298" t="s">
        <v>1143</v>
      </c>
      <c r="N206" s="303" t="s">
        <v>1144</v>
      </c>
      <c r="O206" s="174"/>
    </row>
    <row r="207" spans="1:15" ht="45">
      <c r="B207" s="164">
        <v>141</v>
      </c>
      <c r="C207" s="573" t="s">
        <v>83</v>
      </c>
      <c r="D207" s="295" t="s">
        <v>1145</v>
      </c>
      <c r="E207" s="295">
        <v>39200</v>
      </c>
      <c r="F207" s="295" t="s">
        <v>1146</v>
      </c>
      <c r="G207" s="295" t="s">
        <v>202</v>
      </c>
      <c r="H207" s="295" t="s">
        <v>117</v>
      </c>
      <c r="I207" s="295" t="s">
        <v>34</v>
      </c>
      <c r="J207" s="306" t="s">
        <v>118</v>
      </c>
      <c r="K207" s="299" t="s">
        <v>119</v>
      </c>
      <c r="L207" s="306" t="s">
        <v>1138</v>
      </c>
      <c r="M207" s="298" t="s">
        <v>1147</v>
      </c>
      <c r="N207" s="303" t="s">
        <v>1148</v>
      </c>
      <c r="O207" s="174" t="e">
        <v>#N/A</v>
      </c>
    </row>
    <row r="208" spans="1:15" ht="90">
      <c r="B208" s="164">
        <v>132</v>
      </c>
      <c r="C208" s="225" t="s">
        <v>83</v>
      </c>
      <c r="D208" s="156" t="s">
        <v>194</v>
      </c>
      <c r="E208" s="156" t="s">
        <v>195</v>
      </c>
      <c r="F208" s="156" t="s">
        <v>196</v>
      </c>
      <c r="G208" s="156" t="s">
        <v>410</v>
      </c>
      <c r="H208" s="156" t="s">
        <v>117</v>
      </c>
      <c r="I208" s="156" t="s">
        <v>34</v>
      </c>
      <c r="J208" s="317" t="s">
        <v>118</v>
      </c>
      <c r="K208" s="244" t="s">
        <v>119</v>
      </c>
      <c r="L208" s="318" t="s">
        <v>1131</v>
      </c>
      <c r="M208" s="105" t="s">
        <v>1134</v>
      </c>
      <c r="N208" s="287" t="s">
        <v>1135</v>
      </c>
      <c r="O208" s="174" t="e">
        <v>#N/A</v>
      </c>
    </row>
    <row r="209" spans="2:15" ht="75">
      <c r="B209" s="164">
        <v>253</v>
      </c>
      <c r="C209" s="682" t="s">
        <v>83</v>
      </c>
      <c r="D209" s="101" t="s">
        <v>194</v>
      </c>
      <c r="E209" s="101">
        <v>39000</v>
      </c>
      <c r="F209" s="101" t="s">
        <v>1107</v>
      </c>
      <c r="G209" s="101" t="s">
        <v>1108</v>
      </c>
      <c r="H209" s="101" t="s">
        <v>1109</v>
      </c>
      <c r="I209" s="101" t="s">
        <v>1034</v>
      </c>
      <c r="J209" s="317" t="s">
        <v>118</v>
      </c>
      <c r="K209" s="105" t="s">
        <v>1110</v>
      </c>
      <c r="L209" s="102" t="s">
        <v>1156</v>
      </c>
      <c r="M209" s="105" t="s">
        <v>1111</v>
      </c>
      <c r="N209" s="541" t="s">
        <v>1112</v>
      </c>
      <c r="O209" s="174"/>
    </row>
    <row r="210" spans="2:15" ht="45">
      <c r="B210" s="164">
        <v>138</v>
      </c>
      <c r="C210" s="667" t="s">
        <v>83</v>
      </c>
      <c r="D210" s="156" t="s">
        <v>115</v>
      </c>
      <c r="E210" s="156">
        <v>39200</v>
      </c>
      <c r="F210" s="156" t="s">
        <v>517</v>
      </c>
      <c r="G210" s="156" t="s">
        <v>966</v>
      </c>
      <c r="H210" s="156" t="s">
        <v>518</v>
      </c>
      <c r="I210" s="156" t="s">
        <v>34</v>
      </c>
      <c r="J210" s="317" t="s">
        <v>118</v>
      </c>
      <c r="K210" s="244" t="s">
        <v>119</v>
      </c>
      <c r="L210" s="317" t="s">
        <v>1138</v>
      </c>
      <c r="M210" s="221" t="s">
        <v>1139</v>
      </c>
      <c r="N210" s="262" t="s">
        <v>63</v>
      </c>
      <c r="O210" s="174" t="e">
        <v>#N/A</v>
      </c>
    </row>
    <row r="211" spans="2:15" ht="30">
      <c r="B211" s="164">
        <v>136</v>
      </c>
      <c r="C211" s="225" t="s">
        <v>83</v>
      </c>
      <c r="D211" s="156" t="s">
        <v>1136</v>
      </c>
      <c r="E211" s="156">
        <v>39400</v>
      </c>
      <c r="F211" s="156" t="s">
        <v>578</v>
      </c>
      <c r="G211" s="156" t="s">
        <v>966</v>
      </c>
      <c r="H211" s="156" t="s">
        <v>1198</v>
      </c>
      <c r="I211" s="156" t="s">
        <v>34</v>
      </c>
      <c r="J211" s="317" t="s">
        <v>118</v>
      </c>
      <c r="K211" s="244" t="s">
        <v>579</v>
      </c>
      <c r="L211" s="317" t="s">
        <v>198</v>
      </c>
      <c r="M211" s="105" t="s">
        <v>1137</v>
      </c>
      <c r="N211" s="262" t="s">
        <v>63</v>
      </c>
      <c r="O211" s="174" t="e">
        <v>#N/A</v>
      </c>
    </row>
    <row r="212" spans="2:15" ht="45">
      <c r="B212" s="164">
        <v>255</v>
      </c>
      <c r="C212" s="682" t="s">
        <v>83</v>
      </c>
      <c r="D212" s="156" t="s">
        <v>1149</v>
      </c>
      <c r="E212" s="321">
        <v>39270</v>
      </c>
      <c r="F212" s="540" t="s">
        <v>1150</v>
      </c>
      <c r="G212" s="156" t="s">
        <v>966</v>
      </c>
      <c r="H212" s="101" t="s">
        <v>1151</v>
      </c>
      <c r="I212" s="156" t="s">
        <v>34</v>
      </c>
      <c r="J212" s="317" t="s">
        <v>118</v>
      </c>
      <c r="K212" s="221" t="s">
        <v>1152</v>
      </c>
      <c r="L212" s="317" t="s">
        <v>1153</v>
      </c>
      <c r="M212" s="105" t="s">
        <v>1154</v>
      </c>
      <c r="N212" s="287" t="s">
        <v>1155</v>
      </c>
      <c r="O212" s="174"/>
    </row>
    <row r="213" spans="2:15" ht="105">
      <c r="B213" s="164">
        <v>54</v>
      </c>
      <c r="C213" s="225" t="s">
        <v>101</v>
      </c>
      <c r="D213" s="156" t="s">
        <v>137</v>
      </c>
      <c r="E213" s="156" t="s">
        <v>138</v>
      </c>
      <c r="F213" s="156" t="s">
        <v>1121</v>
      </c>
      <c r="G213" s="156" t="s">
        <v>410</v>
      </c>
      <c r="H213" s="156" t="s">
        <v>1123</v>
      </c>
      <c r="I213" s="156" t="s">
        <v>34</v>
      </c>
      <c r="J213" s="317" t="s">
        <v>432</v>
      </c>
      <c r="K213" s="244" t="s">
        <v>433</v>
      </c>
      <c r="L213" s="322" t="s">
        <v>1122</v>
      </c>
      <c r="M213" s="105" t="s">
        <v>987</v>
      </c>
      <c r="N213" s="287" t="s">
        <v>1118</v>
      </c>
      <c r="O213" s="174" t="e">
        <v>#N/A</v>
      </c>
    </row>
    <row r="214" spans="2:15" ht="30">
      <c r="B214" s="164">
        <v>244</v>
      </c>
      <c r="C214" s="667" t="s">
        <v>101</v>
      </c>
      <c r="D214" s="221" t="s">
        <v>137</v>
      </c>
      <c r="E214" s="221" t="s">
        <v>138</v>
      </c>
      <c r="F214" s="221" t="s">
        <v>986</v>
      </c>
      <c r="G214" s="221" t="s">
        <v>1219</v>
      </c>
      <c r="H214" s="221" t="s">
        <v>249</v>
      </c>
      <c r="I214" s="221" t="s">
        <v>34</v>
      </c>
      <c r="J214" s="319" t="s">
        <v>1181</v>
      </c>
      <c r="K214" s="251" t="s">
        <v>251</v>
      </c>
      <c r="L214" s="257"/>
      <c r="M214" s="221" t="s">
        <v>1182</v>
      </c>
      <c r="N214" s="579" t="s">
        <v>1183</v>
      </c>
      <c r="O214" s="174"/>
    </row>
    <row r="215" spans="2:15">
      <c r="B215" s="164">
        <v>52</v>
      </c>
      <c r="C215" s="225" t="s">
        <v>101</v>
      </c>
      <c r="D215" s="156" t="s">
        <v>137</v>
      </c>
      <c r="E215" s="156" t="s">
        <v>138</v>
      </c>
      <c r="F215" s="156" t="s">
        <v>1035</v>
      </c>
      <c r="G215" s="221" t="s">
        <v>966</v>
      </c>
      <c r="H215" s="101" t="s">
        <v>1113</v>
      </c>
      <c r="I215" s="101" t="s">
        <v>1034</v>
      </c>
      <c r="J215" s="318" t="s">
        <v>432</v>
      </c>
      <c r="K215" s="321" t="s">
        <v>1114</v>
      </c>
      <c r="L215" s="318" t="s">
        <v>1115</v>
      </c>
      <c r="M215" s="101" t="s">
        <v>1116</v>
      </c>
      <c r="N215" s="534" t="s">
        <v>1091</v>
      </c>
      <c r="O215" s="174" t="e">
        <v>#N/A</v>
      </c>
    </row>
    <row r="216" spans="2:15" ht="30">
      <c r="B216" s="164">
        <v>58</v>
      </c>
      <c r="C216" s="225" t="s">
        <v>101</v>
      </c>
      <c r="D216" s="156" t="s">
        <v>137</v>
      </c>
      <c r="E216" s="156">
        <v>25000</v>
      </c>
      <c r="F216" s="156" t="s">
        <v>538</v>
      </c>
      <c r="G216" s="156" t="s">
        <v>966</v>
      </c>
      <c r="H216" s="156" t="s">
        <v>1123</v>
      </c>
      <c r="I216" s="320" t="s">
        <v>34</v>
      </c>
      <c r="J216" s="319" t="s">
        <v>235</v>
      </c>
      <c r="K216" s="561" t="s">
        <v>539</v>
      </c>
      <c r="L216" s="319" t="s">
        <v>166</v>
      </c>
      <c r="M216" s="561" t="s">
        <v>1124</v>
      </c>
      <c r="N216" s="226" t="s">
        <v>63</v>
      </c>
      <c r="O216" s="174" t="e">
        <v>#N/A</v>
      </c>
    </row>
    <row r="217" spans="2:15" ht="51" customHeight="1">
      <c r="B217" s="164">
        <v>64</v>
      </c>
      <c r="C217" s="225" t="s">
        <v>101</v>
      </c>
      <c r="D217" s="156" t="s">
        <v>570</v>
      </c>
      <c r="E217" s="156">
        <v>25250</v>
      </c>
      <c r="F217" s="156" t="s">
        <v>580</v>
      </c>
      <c r="G217" s="156" t="s">
        <v>966</v>
      </c>
      <c r="H217" s="156" t="s">
        <v>1193</v>
      </c>
      <c r="I217" s="156" t="s">
        <v>34</v>
      </c>
      <c r="J217" s="318" t="s">
        <v>432</v>
      </c>
      <c r="K217" s="238" t="s">
        <v>1125</v>
      </c>
      <c r="L217" s="324" t="s">
        <v>1091</v>
      </c>
      <c r="M217" s="101" t="s">
        <v>581</v>
      </c>
      <c r="N217" s="105" t="s">
        <v>63</v>
      </c>
      <c r="O217" s="202" t="e">
        <v>#N/A</v>
      </c>
    </row>
    <row r="218" spans="2:15" ht="57" customHeight="1">
      <c r="B218" s="164">
        <v>74</v>
      </c>
      <c r="C218" s="225" t="s">
        <v>101</v>
      </c>
      <c r="D218" s="156" t="s">
        <v>573</v>
      </c>
      <c r="E218" s="156">
        <v>25290</v>
      </c>
      <c r="F218" s="156" t="s">
        <v>582</v>
      </c>
      <c r="G218" s="156" t="s">
        <v>966</v>
      </c>
      <c r="H218" s="156" t="s">
        <v>1193</v>
      </c>
      <c r="I218" s="156" t="s">
        <v>34</v>
      </c>
      <c r="J218" s="318" t="s">
        <v>432</v>
      </c>
      <c r="K218" s="238">
        <v>381830332</v>
      </c>
      <c r="L218" s="324" t="s">
        <v>1091</v>
      </c>
      <c r="M218" s="101" t="s">
        <v>583</v>
      </c>
      <c r="N218" s="105" t="s">
        <v>63</v>
      </c>
      <c r="O218" s="202" t="e">
        <v>#N/A</v>
      </c>
    </row>
    <row r="219" spans="2:15" ht="30">
      <c r="B219" s="164">
        <v>84</v>
      </c>
      <c r="C219" s="225" t="s">
        <v>101</v>
      </c>
      <c r="D219" s="156" t="s">
        <v>584</v>
      </c>
      <c r="E219" s="156">
        <v>25800</v>
      </c>
      <c r="F219" s="156" t="s">
        <v>585</v>
      </c>
      <c r="G219" s="156" t="s">
        <v>966</v>
      </c>
      <c r="H219" s="156" t="s">
        <v>1193</v>
      </c>
      <c r="I219" s="226" t="s">
        <v>34</v>
      </c>
      <c r="J219" s="323" t="s">
        <v>432</v>
      </c>
      <c r="K219" s="245">
        <v>381830332</v>
      </c>
      <c r="L219" s="578" t="s">
        <v>1091</v>
      </c>
      <c r="M219" s="542" t="s">
        <v>581</v>
      </c>
      <c r="N219" s="262" t="s">
        <v>63</v>
      </c>
      <c r="O219" s="174" t="e">
        <v>#N/A</v>
      </c>
    </row>
    <row r="220" spans="2:15" ht="90">
      <c r="B220" s="164">
        <v>50</v>
      </c>
      <c r="C220" s="573" t="s">
        <v>101</v>
      </c>
      <c r="D220" s="295" t="s">
        <v>137</v>
      </c>
      <c r="E220" s="295" t="s">
        <v>138</v>
      </c>
      <c r="F220" s="295" t="s">
        <v>986</v>
      </c>
      <c r="G220" s="295" t="s">
        <v>202</v>
      </c>
      <c r="H220" s="295" t="s">
        <v>249</v>
      </c>
      <c r="I220" s="295" t="s">
        <v>34</v>
      </c>
      <c r="J220" s="305" t="s">
        <v>250</v>
      </c>
      <c r="K220" s="297" t="s">
        <v>251</v>
      </c>
      <c r="L220" s="307" t="s">
        <v>1091</v>
      </c>
      <c r="M220" s="298" t="s">
        <v>988</v>
      </c>
      <c r="N220" s="303" t="s">
        <v>1210</v>
      </c>
      <c r="O220" s="174" t="e">
        <v>#N/A</v>
      </c>
    </row>
    <row r="221" spans="2:15" ht="75">
      <c r="B221" s="164">
        <v>21</v>
      </c>
      <c r="C221" s="667" t="s">
        <v>49</v>
      </c>
      <c r="D221" s="156" t="s">
        <v>186</v>
      </c>
      <c r="E221" s="156" t="s">
        <v>187</v>
      </c>
      <c r="F221" s="156" t="s">
        <v>434</v>
      </c>
      <c r="G221" s="156" t="s">
        <v>410</v>
      </c>
      <c r="H221" s="156" t="s">
        <v>122</v>
      </c>
      <c r="I221" s="156" t="s">
        <v>34</v>
      </c>
      <c r="J221" s="318" t="s">
        <v>127</v>
      </c>
      <c r="K221" s="238" t="s">
        <v>253</v>
      </c>
      <c r="L221" s="317" t="s">
        <v>192</v>
      </c>
      <c r="M221" s="101" t="s">
        <v>435</v>
      </c>
      <c r="N221" s="278" t="s">
        <v>436</v>
      </c>
      <c r="O221" s="174" t="e">
        <v>#N/A</v>
      </c>
    </row>
    <row r="222" spans="2:15" ht="30">
      <c r="B222" s="164">
        <v>38</v>
      </c>
      <c r="C222" s="667" t="s">
        <v>49</v>
      </c>
      <c r="D222" s="156" t="s">
        <v>125</v>
      </c>
      <c r="E222" s="156">
        <v>21500</v>
      </c>
      <c r="F222" s="156" t="s">
        <v>1018</v>
      </c>
      <c r="G222" s="156" t="s">
        <v>966</v>
      </c>
      <c r="H222" s="156" t="s">
        <v>1093</v>
      </c>
      <c r="I222" s="156" t="s">
        <v>34</v>
      </c>
      <c r="J222" s="318"/>
      <c r="K222" s="238"/>
      <c r="L222" s="325" t="s">
        <v>1091</v>
      </c>
      <c r="M222" s="105" t="s">
        <v>1017</v>
      </c>
      <c r="N222" s="262" t="s">
        <v>1016</v>
      </c>
      <c r="O222" s="174" t="e">
        <v>#N/A</v>
      </c>
    </row>
    <row r="223" spans="2:15" ht="30">
      <c r="B223" s="164">
        <v>4</v>
      </c>
      <c r="C223" s="667" t="s">
        <v>49</v>
      </c>
      <c r="D223" s="156" t="s">
        <v>132</v>
      </c>
      <c r="E223" s="156">
        <v>21200</v>
      </c>
      <c r="F223" s="156" t="s">
        <v>133</v>
      </c>
      <c r="G223" s="156" t="s">
        <v>32</v>
      </c>
      <c r="H223" s="156" t="s">
        <v>122</v>
      </c>
      <c r="I223" s="156" t="s">
        <v>34</v>
      </c>
      <c r="J223" s="318" t="s">
        <v>134</v>
      </c>
      <c r="K223" s="238" t="s">
        <v>135</v>
      </c>
      <c r="L223" s="66" t="s">
        <v>1091</v>
      </c>
      <c r="M223" s="101" t="s">
        <v>136</v>
      </c>
      <c r="N223" s="149" t="s">
        <v>1088</v>
      </c>
      <c r="O223" s="174" t="e">
        <v>#N/A</v>
      </c>
    </row>
    <row r="224" spans="2:15" ht="30">
      <c r="B224" s="164">
        <v>35</v>
      </c>
      <c r="C224" s="667" t="s">
        <v>49</v>
      </c>
      <c r="D224" s="156" t="s">
        <v>120</v>
      </c>
      <c r="E224" s="156">
        <v>21120</v>
      </c>
      <c r="F224" s="156" t="s">
        <v>121</v>
      </c>
      <c r="G224" s="156" t="s">
        <v>32</v>
      </c>
      <c r="H224" s="156" t="s">
        <v>122</v>
      </c>
      <c r="I224" s="156" t="s">
        <v>34</v>
      </c>
      <c r="J224" s="318" t="s">
        <v>123</v>
      </c>
      <c r="K224" s="238">
        <v>811466280</v>
      </c>
      <c r="L224" s="66" t="s">
        <v>1091</v>
      </c>
      <c r="M224" s="101" t="s">
        <v>124</v>
      </c>
      <c r="N224" s="553" t="s">
        <v>1089</v>
      </c>
      <c r="O224" s="174" t="e">
        <v>#N/A</v>
      </c>
    </row>
    <row r="225" spans="2:15" ht="45">
      <c r="B225" s="164">
        <v>36</v>
      </c>
      <c r="C225" s="667" t="s">
        <v>49</v>
      </c>
      <c r="D225" s="156" t="s">
        <v>125</v>
      </c>
      <c r="E225" s="156">
        <v>21500</v>
      </c>
      <c r="F225" s="156" t="s">
        <v>126</v>
      </c>
      <c r="G225" s="156" t="s">
        <v>32</v>
      </c>
      <c r="H225" s="156" t="s">
        <v>122</v>
      </c>
      <c r="I225" s="156" t="s">
        <v>34</v>
      </c>
      <c r="J225" s="318" t="s">
        <v>127</v>
      </c>
      <c r="K225" s="238">
        <v>811466280</v>
      </c>
      <c r="L225" s="66" t="s">
        <v>1091</v>
      </c>
      <c r="M225" s="101" t="s">
        <v>128</v>
      </c>
      <c r="N225" s="149" t="s">
        <v>1088</v>
      </c>
      <c r="O225" s="174" t="e">
        <v>#N/A</v>
      </c>
    </row>
    <row r="226" spans="2:15" ht="63.95" customHeight="1">
      <c r="B226" s="164">
        <v>41</v>
      </c>
      <c r="C226" s="225" t="s">
        <v>49</v>
      </c>
      <c r="D226" s="156" t="s">
        <v>129</v>
      </c>
      <c r="E226" s="156">
        <v>21260</v>
      </c>
      <c r="F226" s="156" t="s">
        <v>130</v>
      </c>
      <c r="G226" s="156" t="s">
        <v>32</v>
      </c>
      <c r="H226" s="156" t="s">
        <v>122</v>
      </c>
      <c r="I226" s="156" t="s">
        <v>34</v>
      </c>
      <c r="J226" s="318" t="s">
        <v>123</v>
      </c>
      <c r="K226" s="238">
        <v>811466280</v>
      </c>
      <c r="L226" s="66" t="s">
        <v>1091</v>
      </c>
      <c r="M226" s="101" t="s">
        <v>131</v>
      </c>
      <c r="N226" s="149" t="s">
        <v>1090</v>
      </c>
      <c r="O226" s="174" t="e">
        <v>#N/A</v>
      </c>
    </row>
    <row r="227" spans="2:15" ht="45">
      <c r="B227" s="164">
        <v>17</v>
      </c>
      <c r="C227" s="681" t="s">
        <v>49</v>
      </c>
      <c r="D227" s="295" t="s">
        <v>186</v>
      </c>
      <c r="E227" s="295">
        <v>21000</v>
      </c>
      <c r="F227" s="295" t="s">
        <v>252</v>
      </c>
      <c r="G227" s="295" t="s">
        <v>202</v>
      </c>
      <c r="H227" s="295" t="s">
        <v>122</v>
      </c>
      <c r="I227" s="295" t="s">
        <v>34</v>
      </c>
      <c r="J227" s="305" t="s">
        <v>127</v>
      </c>
      <c r="K227" s="297" t="s">
        <v>253</v>
      </c>
      <c r="L227" s="306" t="s">
        <v>192</v>
      </c>
      <c r="M227" s="296" t="s">
        <v>254</v>
      </c>
      <c r="N227" s="303" t="s">
        <v>248</v>
      </c>
      <c r="O227" s="174" t="e">
        <v>#N/A</v>
      </c>
    </row>
    <row r="228" spans="2:15" ht="30">
      <c r="B228" s="164">
        <v>114</v>
      </c>
      <c r="C228" s="681" t="s">
        <v>57</v>
      </c>
      <c r="D228" s="296" t="s">
        <v>146</v>
      </c>
      <c r="E228" s="302">
        <v>70000</v>
      </c>
      <c r="F228" s="296" t="s">
        <v>1228</v>
      </c>
      <c r="G228" s="296" t="s">
        <v>202</v>
      </c>
      <c r="H228" s="296" t="s">
        <v>1227</v>
      </c>
      <c r="I228" s="296" t="s">
        <v>34</v>
      </c>
      <c r="J228" s="305" t="s">
        <v>952</v>
      </c>
      <c r="K228" s="297" t="s">
        <v>67</v>
      </c>
      <c r="L228" s="310" t="s">
        <v>150</v>
      </c>
      <c r="M228" s="258"/>
      <c r="N228" s="300" t="s">
        <v>1027</v>
      </c>
      <c r="O228" s="174" t="e">
        <v>#N/A</v>
      </c>
    </row>
    <row r="229" spans="2:15" ht="30">
      <c r="B229" s="164">
        <v>100</v>
      </c>
      <c r="C229" s="681" t="s">
        <v>57</v>
      </c>
      <c r="D229" s="298" t="s">
        <v>1028</v>
      </c>
      <c r="E229" s="298">
        <v>70300</v>
      </c>
      <c r="F229" s="298" t="s">
        <v>1226</v>
      </c>
      <c r="G229" s="298" t="s">
        <v>202</v>
      </c>
      <c r="H229" s="296" t="s">
        <v>1227</v>
      </c>
      <c r="I229" s="296" t="s">
        <v>34</v>
      </c>
      <c r="J229" s="305" t="s">
        <v>952</v>
      </c>
      <c r="K229" s="299" t="s">
        <v>67</v>
      </c>
      <c r="L229" s="325"/>
      <c r="M229" s="325"/>
      <c r="N229" s="584" t="s">
        <v>1027</v>
      </c>
      <c r="O229" s="174" t="e">
        <v>#N/A</v>
      </c>
    </row>
    <row r="230" spans="2:15" ht="45">
      <c r="B230" s="164">
        <v>81</v>
      </c>
      <c r="C230" s="407" t="s">
        <v>101</v>
      </c>
      <c r="D230" s="126" t="s">
        <v>227</v>
      </c>
      <c r="E230" s="126" t="s">
        <v>228</v>
      </c>
      <c r="F230" s="126" t="s">
        <v>647</v>
      </c>
      <c r="G230" s="128" t="s">
        <v>589</v>
      </c>
      <c r="H230" s="126" t="s">
        <v>349</v>
      </c>
      <c r="I230" s="126" t="s">
        <v>224</v>
      </c>
      <c r="J230" s="327" t="s">
        <v>231</v>
      </c>
      <c r="K230" s="210" t="s">
        <v>648</v>
      </c>
      <c r="L230" s="315" t="s">
        <v>1091</v>
      </c>
      <c r="M230" s="257" t="s">
        <v>1090</v>
      </c>
      <c r="N230" s="274" t="s">
        <v>649</v>
      </c>
      <c r="O230" s="174" t="e">
        <v>#N/A</v>
      </c>
    </row>
    <row r="231" spans="2:15" ht="45">
      <c r="B231" s="164">
        <v>82</v>
      </c>
      <c r="C231" s="672" t="s">
        <v>101</v>
      </c>
      <c r="D231" s="228" t="s">
        <v>227</v>
      </c>
      <c r="E231" s="228" t="s">
        <v>228</v>
      </c>
      <c r="F231" s="228" t="s">
        <v>703</v>
      </c>
      <c r="G231" s="96" t="s">
        <v>9</v>
      </c>
      <c r="H231" s="96" t="s">
        <v>349</v>
      </c>
      <c r="I231" s="96" t="s">
        <v>224</v>
      </c>
      <c r="J231" s="335" t="s">
        <v>231</v>
      </c>
      <c r="K231" s="228" t="s">
        <v>232</v>
      </c>
      <c r="L231" s="315" t="s">
        <v>1091</v>
      </c>
      <c r="M231" s="257" t="s">
        <v>1090</v>
      </c>
      <c r="N231" s="275" t="s">
        <v>704</v>
      </c>
      <c r="O231" s="174" t="e">
        <v>#N/A</v>
      </c>
    </row>
    <row r="232" spans="2:15" ht="60">
      <c r="B232" s="164">
        <v>110</v>
      </c>
      <c r="C232" s="671" t="s">
        <v>57</v>
      </c>
      <c r="D232" s="210" t="s">
        <v>146</v>
      </c>
      <c r="E232" s="210" t="s">
        <v>147</v>
      </c>
      <c r="F232" s="210" t="s">
        <v>650</v>
      </c>
      <c r="G232" s="211" t="s">
        <v>589</v>
      </c>
      <c r="H232" s="232" t="s">
        <v>651</v>
      </c>
      <c r="I232" s="210" t="s">
        <v>224</v>
      </c>
      <c r="J232" s="327" t="s">
        <v>392</v>
      </c>
      <c r="K232" s="210" t="s">
        <v>652</v>
      </c>
      <c r="L232" s="327" t="s">
        <v>394</v>
      </c>
      <c r="M232" s="258" t="s">
        <v>1090</v>
      </c>
      <c r="N232" s="293" t="s">
        <v>653</v>
      </c>
      <c r="O232" s="174" t="e">
        <v>#N/A</v>
      </c>
    </row>
    <row r="233" spans="2:15" ht="60">
      <c r="B233" s="164">
        <v>111</v>
      </c>
      <c r="C233" s="672" t="s">
        <v>57</v>
      </c>
      <c r="D233" s="228" t="s">
        <v>146</v>
      </c>
      <c r="E233" s="228" t="s">
        <v>147</v>
      </c>
      <c r="F233" s="228" t="s">
        <v>705</v>
      </c>
      <c r="G233" s="228" t="s">
        <v>9</v>
      </c>
      <c r="H233" s="228" t="s">
        <v>651</v>
      </c>
      <c r="I233" s="228" t="s">
        <v>224</v>
      </c>
      <c r="J233" s="335" t="s">
        <v>392</v>
      </c>
      <c r="K233" s="228" t="s">
        <v>706</v>
      </c>
      <c r="L233" s="335" t="s">
        <v>394</v>
      </c>
      <c r="M233" s="257" t="s">
        <v>1090</v>
      </c>
      <c r="N233" s="294" t="s">
        <v>707</v>
      </c>
      <c r="O233" s="174" t="e">
        <v>#N/A</v>
      </c>
    </row>
    <row r="234" spans="2:15" ht="30">
      <c r="B234" s="164">
        <v>112</v>
      </c>
      <c r="C234" s="680" t="s">
        <v>57</v>
      </c>
      <c r="D234" s="125" t="s">
        <v>146</v>
      </c>
      <c r="E234" s="125" t="s">
        <v>147</v>
      </c>
      <c r="F234" s="125" t="s">
        <v>705</v>
      </c>
      <c r="G234" s="124" t="s">
        <v>734</v>
      </c>
      <c r="H234" s="125" t="s">
        <v>651</v>
      </c>
      <c r="I234" s="125" t="s">
        <v>224</v>
      </c>
      <c r="J234" s="345" t="s">
        <v>392</v>
      </c>
      <c r="K234" s="125" t="s">
        <v>706</v>
      </c>
      <c r="L234" s="345" t="s">
        <v>394</v>
      </c>
      <c r="M234" s="258" t="s">
        <v>1088</v>
      </c>
      <c r="N234" s="279" t="s">
        <v>735</v>
      </c>
      <c r="O234" s="174" t="e">
        <v>#N/A</v>
      </c>
    </row>
    <row r="235" spans="2:15" ht="45">
      <c r="B235" s="164">
        <v>113</v>
      </c>
      <c r="C235" s="679" t="s">
        <v>57</v>
      </c>
      <c r="D235" s="214" t="s">
        <v>146</v>
      </c>
      <c r="E235" s="214" t="s">
        <v>147</v>
      </c>
      <c r="F235" s="214" t="s">
        <v>752</v>
      </c>
      <c r="G235" s="215" t="s">
        <v>11</v>
      </c>
      <c r="H235" s="214" t="s">
        <v>651</v>
      </c>
      <c r="I235" s="214" t="s">
        <v>224</v>
      </c>
      <c r="J235" s="355" t="s">
        <v>392</v>
      </c>
      <c r="K235" s="214" t="s">
        <v>753</v>
      </c>
      <c r="L235" s="355" t="s">
        <v>394</v>
      </c>
      <c r="M235" s="214" t="s">
        <v>754</v>
      </c>
      <c r="N235" s="281" t="s">
        <v>747</v>
      </c>
      <c r="O235" s="174" t="e">
        <v>#N/A</v>
      </c>
    </row>
    <row r="236" spans="2:15" ht="45">
      <c r="B236" s="164">
        <v>172</v>
      </c>
      <c r="C236" s="407" t="s">
        <v>29</v>
      </c>
      <c r="D236" s="126" t="s">
        <v>37</v>
      </c>
      <c r="E236" s="126" t="s">
        <v>351</v>
      </c>
      <c r="F236" s="128" t="s">
        <v>352</v>
      </c>
      <c r="G236" s="128" t="s">
        <v>589</v>
      </c>
      <c r="H236" s="126" t="s">
        <v>353</v>
      </c>
      <c r="I236" s="126" t="s">
        <v>34</v>
      </c>
      <c r="J236" s="328" t="s">
        <v>354</v>
      </c>
      <c r="K236" s="126" t="s">
        <v>997</v>
      </c>
      <c r="L236" s="328" t="s">
        <v>356</v>
      </c>
      <c r="M236" s="237" t="s">
        <v>998</v>
      </c>
      <c r="N236" s="274" t="s">
        <v>654</v>
      </c>
      <c r="O236" s="174" t="e">
        <v>#N/A</v>
      </c>
    </row>
    <row r="237" spans="2:15" ht="45">
      <c r="B237" s="164">
        <v>171</v>
      </c>
      <c r="C237" s="504" t="s">
        <v>29</v>
      </c>
      <c r="D237" s="111" t="s">
        <v>37</v>
      </c>
      <c r="E237" s="111" t="s">
        <v>351</v>
      </c>
      <c r="F237" s="111" t="s">
        <v>352</v>
      </c>
      <c r="G237" s="111" t="s">
        <v>7</v>
      </c>
      <c r="H237" s="111" t="s">
        <v>353</v>
      </c>
      <c r="I237" s="111" t="s">
        <v>34</v>
      </c>
      <c r="J237" s="311" t="s">
        <v>354</v>
      </c>
      <c r="K237" s="239" t="s">
        <v>355</v>
      </c>
      <c r="L237" s="311" t="s">
        <v>356</v>
      </c>
      <c r="M237" s="129" t="s">
        <v>357</v>
      </c>
      <c r="N237" s="130" t="s">
        <v>285</v>
      </c>
      <c r="O237" s="193" t="e">
        <v>#N/A</v>
      </c>
    </row>
    <row r="238" spans="2:15" ht="72" customHeight="1">
      <c r="B238" s="164">
        <v>205</v>
      </c>
      <c r="C238" s="504" t="s">
        <v>108</v>
      </c>
      <c r="D238" s="111" t="s">
        <v>407</v>
      </c>
      <c r="E238" s="111">
        <v>90400</v>
      </c>
      <c r="F238" s="111" t="s">
        <v>408</v>
      </c>
      <c r="G238" s="111" t="s">
        <v>1086</v>
      </c>
      <c r="H238" s="111" t="s">
        <v>401</v>
      </c>
      <c r="I238" s="111" t="s">
        <v>224</v>
      </c>
      <c r="J238" s="311" t="s">
        <v>402</v>
      </c>
      <c r="K238" s="239" t="s">
        <v>409</v>
      </c>
      <c r="L238" s="311" t="s">
        <v>404</v>
      </c>
      <c r="M238" s="129" t="s">
        <v>1080</v>
      </c>
      <c r="N238" s="129" t="s">
        <v>406</v>
      </c>
      <c r="O238" s="193" t="s">
        <v>814</v>
      </c>
    </row>
    <row r="239" spans="2:15" ht="30">
      <c r="B239" s="164">
        <v>200</v>
      </c>
      <c r="C239" s="504" t="s">
        <v>108</v>
      </c>
      <c r="D239" s="111" t="s">
        <v>109</v>
      </c>
      <c r="E239" s="111">
        <v>90000</v>
      </c>
      <c r="F239" s="111" t="s">
        <v>400</v>
      </c>
      <c r="G239" s="111" t="s">
        <v>1231</v>
      </c>
      <c r="H239" s="111" t="s">
        <v>401</v>
      </c>
      <c r="I239" s="111" t="s">
        <v>224</v>
      </c>
      <c r="J239" s="311" t="s">
        <v>402</v>
      </c>
      <c r="K239" s="239" t="s">
        <v>403</v>
      </c>
      <c r="L239" s="311" t="s">
        <v>404</v>
      </c>
      <c r="M239" s="129" t="s">
        <v>405</v>
      </c>
      <c r="N239" s="129" t="s">
        <v>406</v>
      </c>
      <c r="O239" s="537" t="s">
        <v>814</v>
      </c>
    </row>
    <row r="240" spans="2:15" ht="64.5" customHeight="1">
      <c r="B240" s="164">
        <v>69</v>
      </c>
      <c r="C240" s="570" t="s">
        <v>101</v>
      </c>
      <c r="D240" s="222" t="s">
        <v>182</v>
      </c>
      <c r="E240" s="222">
        <v>25200</v>
      </c>
      <c r="F240" s="222" t="s">
        <v>763</v>
      </c>
      <c r="G240" s="222" t="s">
        <v>12</v>
      </c>
      <c r="H240" s="223" t="s">
        <v>756</v>
      </c>
      <c r="I240" s="222" t="s">
        <v>224</v>
      </c>
      <c r="J240" s="360" t="s">
        <v>402</v>
      </c>
      <c r="K240" s="222" t="s">
        <v>764</v>
      </c>
      <c r="L240" s="99" t="s">
        <v>404</v>
      </c>
      <c r="M240" s="258" t="s">
        <v>1090</v>
      </c>
      <c r="N240" s="286" t="s">
        <v>760</v>
      </c>
      <c r="O240" s="537" t="s">
        <v>814</v>
      </c>
    </row>
    <row r="241" spans="2:15" ht="65.45" customHeight="1">
      <c r="B241" s="164">
        <v>6</v>
      </c>
      <c r="C241" s="671" t="s">
        <v>49</v>
      </c>
      <c r="D241" s="210" t="s">
        <v>132</v>
      </c>
      <c r="E241" s="210" t="s">
        <v>358</v>
      </c>
      <c r="F241" s="211" t="s">
        <v>359</v>
      </c>
      <c r="G241" s="211" t="s">
        <v>589</v>
      </c>
      <c r="H241" s="210" t="s">
        <v>360</v>
      </c>
      <c r="I241" s="210" t="s">
        <v>224</v>
      </c>
      <c r="J241" s="327" t="s">
        <v>361</v>
      </c>
      <c r="K241" s="210" t="s">
        <v>362</v>
      </c>
      <c r="L241" s="328" t="s">
        <v>363</v>
      </c>
      <c r="M241" s="258" t="s">
        <v>1088</v>
      </c>
      <c r="N241" s="293" t="s">
        <v>655</v>
      </c>
      <c r="O241" s="193" t="e">
        <v>#N/A</v>
      </c>
    </row>
    <row r="242" spans="2:15" ht="66.599999999999994" customHeight="1">
      <c r="B242" s="164">
        <v>5</v>
      </c>
      <c r="C242" s="504" t="s">
        <v>49</v>
      </c>
      <c r="D242" s="111" t="s">
        <v>132</v>
      </c>
      <c r="E242" s="111" t="s">
        <v>358</v>
      </c>
      <c r="F242" s="111" t="s">
        <v>359</v>
      </c>
      <c r="G242" s="111" t="s">
        <v>7</v>
      </c>
      <c r="H242" s="111" t="s">
        <v>360</v>
      </c>
      <c r="I242" s="111" t="s">
        <v>224</v>
      </c>
      <c r="J242" s="311" t="s">
        <v>361</v>
      </c>
      <c r="K242" s="239" t="s">
        <v>362</v>
      </c>
      <c r="L242" s="311" t="s">
        <v>363</v>
      </c>
      <c r="M242" s="129" t="s">
        <v>364</v>
      </c>
      <c r="N242" s="129" t="s">
        <v>304</v>
      </c>
      <c r="O242" s="193" t="e">
        <v>#N/A</v>
      </c>
    </row>
    <row r="243" spans="2:15" ht="92.45" customHeight="1">
      <c r="B243" s="164">
        <v>7</v>
      </c>
      <c r="C243" s="672" t="s">
        <v>49</v>
      </c>
      <c r="D243" s="228" t="s">
        <v>132</v>
      </c>
      <c r="E243" s="228" t="s">
        <v>358</v>
      </c>
      <c r="F243" s="228" t="s">
        <v>708</v>
      </c>
      <c r="G243" s="228" t="s">
        <v>9</v>
      </c>
      <c r="H243" s="228" t="s">
        <v>360</v>
      </c>
      <c r="I243" s="228" t="s">
        <v>224</v>
      </c>
      <c r="J243" s="335" t="s">
        <v>361</v>
      </c>
      <c r="K243" s="228" t="s">
        <v>362</v>
      </c>
      <c r="L243" s="333" t="s">
        <v>363</v>
      </c>
      <c r="M243" s="257" t="s">
        <v>1090</v>
      </c>
      <c r="N243" s="413" t="s">
        <v>709</v>
      </c>
      <c r="O243" s="193" t="e">
        <v>#N/A</v>
      </c>
    </row>
    <row r="244" spans="2:15" ht="30">
      <c r="B244" s="684">
        <v>142</v>
      </c>
      <c r="C244" s="662" t="s">
        <v>76</v>
      </c>
      <c r="D244" s="127" t="s">
        <v>727</v>
      </c>
      <c r="E244" s="127" t="s">
        <v>728</v>
      </c>
      <c r="F244" s="127" t="s">
        <v>729</v>
      </c>
      <c r="G244" s="98" t="s">
        <v>712</v>
      </c>
      <c r="H244" s="127" t="s">
        <v>730</v>
      </c>
      <c r="I244" s="127" t="s">
        <v>731</v>
      </c>
      <c r="J244" s="341" t="s">
        <v>732</v>
      </c>
      <c r="K244" s="227" t="s">
        <v>733</v>
      </c>
      <c r="L244" s="315" t="s">
        <v>1091</v>
      </c>
      <c r="M244" s="265" t="s">
        <v>1126</v>
      </c>
      <c r="N244" s="549" t="s">
        <v>713</v>
      </c>
      <c r="O244" s="586" t="e">
        <v>#N/A</v>
      </c>
    </row>
  </sheetData>
  <mergeCells count="1">
    <mergeCell ref="C3:N3"/>
  </mergeCells>
  <phoneticPr fontId="8" type="noConversion"/>
  <hyperlinks>
    <hyperlink ref="J108" r:id="rId1"/>
    <hyperlink ref="J95" r:id="rId2"/>
    <hyperlink ref="L132" r:id="rId3"/>
    <hyperlink ref="L89" r:id="rId4"/>
    <hyperlink ref="L148" r:id="rId5"/>
    <hyperlink ref="L237" r:id="rId6"/>
    <hyperlink ref="L139" r:id="rId7"/>
    <hyperlink ref="L78" r:id="rId8"/>
    <hyperlink ref="L242" r:id="rId9"/>
    <hyperlink ref="L210" r:id="rId10"/>
    <hyperlink ref="J210" r:id="rId11"/>
    <hyperlink ref="J167" r:id="rId12"/>
    <hyperlink ref="J154" r:id="rId13"/>
    <hyperlink ref="J152" r:id="rId14"/>
    <hyperlink ref="J166" r:id="rId15"/>
    <hyperlink ref="J170" r:id="rId16"/>
    <hyperlink ref="J168" r:id="rId17"/>
    <hyperlink ref="J153" r:id="rId18"/>
    <hyperlink ref="J105" r:id="rId19"/>
    <hyperlink ref="L105" r:id="rId20"/>
    <hyperlink ref="J107" r:id="rId21"/>
    <hyperlink ref="J109" r:id="rId22" display="http://ch-autun.fr/contact/_x000a_Macon : "/>
    <hyperlink ref="J91" r:id="rId23"/>
    <hyperlink ref="L91" r:id="rId24"/>
    <hyperlink ref="J235" r:id="rId25"/>
    <hyperlink ref="L133" r:id="rId26"/>
    <hyperlink ref="J236" r:id="rId27"/>
    <hyperlink ref="J123" r:id="rId28"/>
    <hyperlink ref="J94" r:id="rId29" display="contact@ch-sens.fr"/>
    <hyperlink ref="J241" r:id="rId30"/>
    <hyperlink ref="J88" r:id="rId31"/>
    <hyperlink ref="J232" r:id="rId32"/>
    <hyperlink ref="L129" r:id="rId33"/>
    <hyperlink ref="L126" r:id="rId34"/>
    <hyperlink ref="L88" r:id="rId35"/>
    <hyperlink ref="J234" r:id="rId36"/>
    <hyperlink ref="L131" r:id="rId37"/>
    <hyperlink ref="L118" r:id="rId38"/>
    <hyperlink ref="J116" r:id="rId39"/>
    <hyperlink ref="J96" r:id="rId40" display="contact@ch-sens.fr"/>
    <hyperlink ref="J102" r:id="rId41"/>
    <hyperlink ref="J90" r:id="rId42"/>
    <hyperlink ref="J233" r:id="rId43"/>
    <hyperlink ref="L130" r:id="rId44"/>
    <hyperlink ref="L117" r:id="rId45"/>
    <hyperlink ref="L90" r:id="rId46"/>
    <hyperlink ref="L23" r:id="rId47"/>
    <hyperlink ref="L21" r:id="rId48"/>
    <hyperlink ref="L22" r:id="rId49"/>
    <hyperlink ref="L197" r:id="rId50"/>
    <hyperlink ref="L199" r:id="rId51"/>
    <hyperlink ref="L200" r:id="rId52"/>
    <hyperlink ref="L204" r:id="rId53"/>
    <hyperlink ref="L201" r:id="rId54"/>
    <hyperlink ref="L198" r:id="rId55"/>
    <hyperlink ref="L202" r:id="rId56"/>
    <hyperlink ref="L203" r:id="rId57"/>
    <hyperlink ref="L64" r:id="rId58"/>
    <hyperlink ref="L65" r:id="rId59"/>
    <hyperlink ref="L128" r:id="rId60"/>
    <hyperlink ref="J42" r:id="rId61"/>
    <hyperlink ref="L51" r:id="rId62"/>
    <hyperlink ref="J51" r:id="rId63"/>
    <hyperlink ref="J46" r:id="rId64"/>
    <hyperlink ref="J73" r:id="rId65"/>
    <hyperlink ref="J196" r:id="rId66"/>
    <hyperlink ref="J26" r:id="rId67"/>
    <hyperlink ref="J30" r:id="rId68"/>
    <hyperlink ref="J38" r:id="rId69"/>
    <hyperlink ref="J31" r:id="rId70"/>
    <hyperlink ref="J32" r:id="rId71"/>
    <hyperlink ref="J36" r:id="rId72"/>
    <hyperlink ref="L152" r:id="rId73"/>
    <hyperlink ref="L144" r:id="rId74"/>
    <hyperlink ref="L143" r:id="rId75"/>
    <hyperlink ref="J179" r:id="rId76" display="csapa.belfort@addictions-france.org_x000a_"/>
    <hyperlink ref="J67" r:id="rId77"/>
    <hyperlink ref="J134" r:id="rId78"/>
    <hyperlink ref="J135" r:id="rId79"/>
    <hyperlink ref="J209" r:id="rId80"/>
    <hyperlink ref="J215" r:id="rId81"/>
    <hyperlink ref="L213" r:id="rId82" display="www.addsea.fr "/>
    <hyperlink ref="J195" r:id="rId83"/>
    <hyperlink ref="L67" r:id="rId84"/>
    <hyperlink ref="L208" r:id="rId85"/>
    <hyperlink ref="J206" r:id="rId86"/>
    <hyperlink ref="J207" r:id="rId87"/>
    <hyperlink ref="L212" r:id="rId88"/>
    <hyperlink ref="L209" r:id="rId89"/>
    <hyperlink ref="J198" r:id="rId90"/>
    <hyperlink ref="J204" r:id="rId91"/>
    <hyperlink ref="J201" r:id="rId92"/>
    <hyperlink ref="J98" r:id="rId93" display="tabacologie@ch-macon.fr"/>
    <hyperlink ref="L98" r:id="rId94" display="https://www.ch-macon.fr/patients-usagers/services/tabacologie/"/>
    <hyperlink ref="L97" r:id="rId95" display="https://www.ch-macon.fr/patients-usagers/services/tabacologie/"/>
    <hyperlink ref="J97" r:id="rId96" display="tabacologie@ch-macon.fr"/>
    <hyperlink ref="J29" r:id="rId97" display="mailto:csapa.dijon@addictions-france.org"/>
    <hyperlink ref="L29" r:id="rId98" display="https://urldefense.com/v3/__http:/www.addictions-france.org__;!!E1R1dd1bLLODlQ4!Es8mFRAweC5ypRnrRmgKy5fS9hbkpnAdaJ9a5Nfgxl0ZYuVBi4Jzja_3lgWvifw-RfuN-RscJJWgbQPTtIwlRbvG_ESrAQEY_yxj$"/>
    <hyperlink ref="J28" r:id="rId99" display="mailto:csapa.dijon@addictions-france.org"/>
    <hyperlink ref="L28" r:id="rId100" display="https://urldefense.com/v3/__http:/www.addictions-france.org__;!!E1R1dd1bLLODlQ4!Es8mFRAweC5ypRnrRmgKy5fS9hbkpnAdaJ9a5Nfgxl0ZYuVBi4Jzja_3lgWvifw-RfuN-RscJJWgbQPTtIwlRbvG_ESrAQEY_yxj$"/>
    <hyperlink ref="J11" r:id="rId101"/>
    <hyperlink ref="J8" r:id="rId102"/>
    <hyperlink ref="J111" r:id="rId103"/>
    <hyperlink ref="J110" r:id="rId104"/>
    <hyperlink ref="J214" r:id="rId105"/>
    <hyperlink ref="J106" r:id="rId106"/>
    <hyperlink ref="J6" r:id="rId107"/>
    <hyperlink ref="L205" r:id="rId108"/>
  </hyperlinks>
  <pageMargins left="0.7" right="0.7" top="0.75" bottom="0.75" header="0.3" footer="0.3"/>
  <pageSetup paperSize="9" orientation="portrait" r:id="rId109"/>
  <drawing r:id="rId110"/>
  <legacyDrawing r:id="rId111"/>
  <tableParts count="1">
    <tablePart r:id="rId1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9BE1"/>
  </sheetPr>
  <dimension ref="A1:O49"/>
  <sheetViews>
    <sheetView topLeftCell="A31" zoomScale="60" zoomScaleNormal="60" workbookViewId="0">
      <selection activeCell="H53" sqref="H53"/>
    </sheetView>
  </sheetViews>
  <sheetFormatPr baseColWidth="10" defaultColWidth="10.5703125" defaultRowHeight="15"/>
  <cols>
    <col min="1" max="1" width="16.5703125" style="48" customWidth="1"/>
    <col min="2" max="2" width="5" style="69" customWidth="1"/>
    <col min="3" max="3" width="26.5703125" style="1" customWidth="1"/>
    <col min="4" max="4" width="47" style="1" customWidth="1"/>
    <col min="5" max="5" width="24.140625" style="1" customWidth="1"/>
    <col min="6" max="6" width="21.42578125" style="1" customWidth="1"/>
    <col min="7" max="7" width="29.42578125" style="1" customWidth="1"/>
    <col min="8" max="8" width="36" style="1" customWidth="1"/>
    <col min="9" max="9" width="33.85546875" style="1" customWidth="1"/>
    <col min="10" max="10" width="20.42578125" style="1" customWidth="1"/>
    <col min="11" max="11" width="26.42578125" style="1" customWidth="1"/>
    <col min="12" max="12" width="23.42578125" style="1" customWidth="1"/>
    <col min="13" max="13" width="30" style="1" customWidth="1"/>
    <col min="14" max="14" width="36.42578125" style="1" customWidth="1"/>
    <col min="15" max="15" width="71.42578125" style="1" hidden="1" customWidth="1"/>
    <col min="16" max="16" width="51.42578125" style="1" customWidth="1"/>
    <col min="17" max="17" width="39" style="1" customWidth="1"/>
    <col min="18" max="18" width="44.42578125" style="1" customWidth="1"/>
    <col min="19" max="19" width="56.5703125" style="1" customWidth="1"/>
    <col min="20" max="20" width="50.5703125" style="1" customWidth="1"/>
    <col min="21" max="21" width="25.42578125" style="1" customWidth="1"/>
    <col min="22" max="22" width="31.85546875" style="1" customWidth="1"/>
    <col min="23" max="16384" width="10.5703125" style="1"/>
  </cols>
  <sheetData>
    <row r="1" spans="1:15" ht="57.6" customHeight="1">
      <c r="B1" s="167"/>
      <c r="C1" s="48"/>
      <c r="D1" s="48"/>
      <c r="E1" s="48"/>
      <c r="F1" s="48"/>
      <c r="G1" s="48"/>
      <c r="H1" s="48"/>
      <c r="I1" s="48"/>
      <c r="J1" s="48"/>
    </row>
    <row r="3" spans="1:15" ht="18.75">
      <c r="C3" s="709" t="s">
        <v>765</v>
      </c>
      <c r="D3" s="709"/>
      <c r="E3" s="709"/>
      <c r="F3" s="709"/>
      <c r="G3" s="709"/>
      <c r="H3" s="709"/>
      <c r="I3" s="709"/>
      <c r="J3" s="709"/>
      <c r="K3" s="709"/>
      <c r="L3" s="709"/>
      <c r="M3" s="709"/>
      <c r="N3" s="709"/>
      <c r="O3" s="709"/>
    </row>
    <row r="5" spans="1:15" ht="45">
      <c r="A5" s="49"/>
      <c r="B5" s="23" t="s">
        <v>1078</v>
      </c>
      <c r="C5" s="22" t="s">
        <v>17</v>
      </c>
      <c r="D5" s="23" t="s">
        <v>18</v>
      </c>
      <c r="E5" s="23" t="s">
        <v>19</v>
      </c>
      <c r="F5" s="23" t="s">
        <v>20</v>
      </c>
      <c r="G5" s="23" t="s">
        <v>21</v>
      </c>
      <c r="H5" s="23" t="s">
        <v>22</v>
      </c>
      <c r="I5" s="23" t="s">
        <v>23</v>
      </c>
      <c r="J5" s="23" t="s">
        <v>24</v>
      </c>
      <c r="K5" s="23" t="s">
        <v>25</v>
      </c>
      <c r="L5" s="23" t="s">
        <v>26</v>
      </c>
      <c r="M5" s="23" t="s">
        <v>27</v>
      </c>
      <c r="N5" s="24" t="s">
        <v>28</v>
      </c>
    </row>
    <row r="6" spans="1:15" ht="86.45" customHeight="1">
      <c r="B6" s="164">
        <v>33</v>
      </c>
      <c r="C6" s="156" t="str">
        <f>VLOOKUP(Tableau9[[#This Row],[Colonne1]],Tableau124[#All],2,FALSE)</f>
        <v>Côte-d’Or (21)</v>
      </c>
      <c r="D6" s="156" t="str">
        <f>VLOOKUP(Tableau9[[#This Row],[Colonne1]],Tableau124[#All],3,FALSE)</f>
        <v>Fontaine Les Dijon</v>
      </c>
      <c r="E6" s="156" t="str">
        <f>VLOOKUP(Tableau9[[#This Row],[Colonne1]],Tableau124[#All],4,FALSE)</f>
        <v>21121</v>
      </c>
      <c r="F6" s="156" t="str">
        <f>VLOOKUP(Tableau9[[#This Row],[Colonne1]],Tableau124[#All],5,FALSE)</f>
        <v>Immeuble Stratège 1 rue du Dauphiné 21121 Fontaine les Dijon</v>
      </c>
      <c r="G6" s="156" t="str">
        <f>VLOOKUP(Tableau9[[#This Row],[Colonne1]],Tableau124[#All],6,FALSE)</f>
        <v>CSAPA</v>
      </c>
      <c r="H6" s="156" t="str">
        <f>VLOOKUP(Tableau9[[#This Row],[Colonne1]],Tableau124[#All],7,FALSE)</f>
        <v>Association Addictions France 21</v>
      </c>
      <c r="I6" s="156" t="str">
        <f>VLOOKUP(Tableau9[[#This Row],[Colonne1]],Tableau124[#All],8,FALSE)</f>
        <v>Associatif</v>
      </c>
      <c r="J6" s="326" t="str">
        <f>VLOOKUP(Tableau9[[#This Row],[Colonne1]],Tableau124[#All],9,FALSE)</f>
        <v>csapa.dijon@addictions-france.org</v>
      </c>
      <c r="K6" s="378" t="str">
        <f>VLOOKUP(Tableau9[[#This Row],[Colonne1]],Tableau124[#All],10,FALSE)</f>
        <v>03 80 73 26 32</v>
      </c>
      <c r="L6" s="318" t="str">
        <f>VLOOKUP(Tableau9[[#This Row],[Colonne1]],Tableau124[#All],11,FALSE)</f>
        <v>www.addictions-france.org</v>
      </c>
      <c r="M6" s="101" t="str">
        <f>VLOOKUP(Tableau9[[#This Row],[Colonne1]],Tableau124[#All],12,FALSE)</f>
        <v xml:space="preserve">Lun au ve : 9h 12h - 14h 17h
</v>
      </c>
      <c r="N6" s="149" t="str">
        <f>VLOOKUP(Tableau9[[#This Row],[Colonne1]],Tableau124[#All],13,FALSE)</f>
        <v xml:space="preserve">   </v>
      </c>
    </row>
    <row r="7" spans="1:15" ht="86.45" customHeight="1">
      <c r="B7" s="164">
        <v>2</v>
      </c>
      <c r="C7" s="156" t="str">
        <f>VLOOKUP(Tableau9[[#This Row],[Colonne1]],Tableau124[#All],2,FALSE)</f>
        <v>Côte-d’Or (21)</v>
      </c>
      <c r="D7" s="156" t="str">
        <f>VLOOKUP(Tableau9[[#This Row],[Colonne1]],Tableau124[#All],3,FALSE)</f>
        <v>Auxonne</v>
      </c>
      <c r="E7" s="156" t="str">
        <f>VLOOKUP(Tableau9[[#This Row],[Colonne1]],Tableau124[#All],4,FALSE)</f>
        <v>21121</v>
      </c>
      <c r="F7" s="156" t="str">
        <f>VLOOKUP(Tableau9[[#This Row],[Colonne1]],Tableau124[#All],5,FALSE)</f>
        <v>Centre hospitalier, 5 rue du Château 21130 Auxonne</v>
      </c>
      <c r="G7" s="156" t="str">
        <f>VLOOKUP(Tableau9[[#This Row],[Colonne1]],Tableau124[#All],6,FALSE)</f>
        <v>CSAPA (consultations avancées)</v>
      </c>
      <c r="H7" s="156" t="str">
        <f>VLOOKUP(Tableau9[[#This Row],[Colonne1]],Tableau124[#All],7,FALSE)</f>
        <v>Association Addictions France 21</v>
      </c>
      <c r="I7" s="156" t="str">
        <f>VLOOKUP(Tableau9[[#This Row],[Colonne1]],Tableau124[#All],8,FALSE)</f>
        <v>Associatif</v>
      </c>
      <c r="J7" s="326" t="str">
        <f>VLOOKUP(Tableau9[[#This Row],[Colonne1]],Tableau124[#All],9,FALSE)</f>
        <v>csapa.dijon@addictions-france.org</v>
      </c>
      <c r="K7" s="243" t="str">
        <f>VLOOKUP(Tableau9[[#This Row],[Colonne1]],Tableau124[#All],10,FALSE)</f>
        <v>03 80 73 26 32</v>
      </c>
      <c r="L7" s="326" t="str">
        <f>VLOOKUP(Tableau9[[#This Row],[Colonne1]],Tableau124[#All],11,FALSE)</f>
        <v>www.addictions-france.org</v>
      </c>
      <c r="M7" s="269" t="str">
        <f>VLOOKUP(Tableau9[[#This Row],[Colonne1]],Tableau124[#All],12,FALSE)</f>
        <v xml:space="preserve">Lundi : 14h-17h
</v>
      </c>
      <c r="N7" s="149" t="str">
        <f>VLOOKUP(Tableau9[[#This Row],[Colonne1]],Tableau124[#All],13,FALSE)</f>
        <v xml:space="preserve">  </v>
      </c>
    </row>
    <row r="8" spans="1:15" ht="86.45" customHeight="1">
      <c r="B8" s="164">
        <v>22</v>
      </c>
      <c r="C8" s="156" t="str">
        <f>VLOOKUP(Tableau9[[#This Row],[Colonne1]],Tableau124[#All],2,FALSE)</f>
        <v>Côte-d’Or (21)</v>
      </c>
      <c r="D8" s="156" t="str">
        <f>VLOOKUP(Tableau9[[#This Row],[Colonne1]],Tableau124[#All],3,FALSE)</f>
        <v>Dijon</v>
      </c>
      <c r="E8" s="156">
        <f>VLOOKUP(Tableau9[[#This Row],[Colonne1]],Tableau124[#All],4,FALSE)</f>
        <v>21000</v>
      </c>
      <c r="F8" s="156" t="str">
        <f>VLOOKUP(Tableau9[[#This Row],[Colonne1]],Tableau124[#All],5,FALSE)</f>
        <v>Centre d'accueil et d'orientation - foyer Sadi Carnot, 6 rue Sadi Carnot 21000 Dijon</v>
      </c>
      <c r="G8" s="156" t="str">
        <f>VLOOKUP(Tableau9[[#This Row],[Colonne1]],Tableau124[#All],6,FALSE)</f>
        <v>CSAPA (Consultations avancées)</v>
      </c>
      <c r="H8" s="156" t="str">
        <f>VLOOKUP(Tableau9[[#This Row],[Colonne1]],Tableau124[#All],7,FALSE)</f>
        <v>Association Addictions France 21</v>
      </c>
      <c r="I8" s="156" t="str">
        <f>VLOOKUP(Tableau9[[#This Row],[Colonne1]],Tableau124[#All],8,FALSE)</f>
        <v>Associatif</v>
      </c>
      <c r="J8" s="326" t="str">
        <f>VLOOKUP(Tableau9[[#This Row],[Colonne1]],Tableau124[#All],9,FALSE)</f>
        <v>csapa.dijon@addictions-france.org</v>
      </c>
      <c r="K8" s="378" t="str">
        <f>VLOOKUP(Tableau9[[#This Row],[Colonne1]],Tableau124[#All],10,FALSE)</f>
        <v>03 80 73 26 32</v>
      </c>
      <c r="L8" s="318" t="str">
        <f>VLOOKUP(Tableau9[[#This Row],[Colonne1]],Tableau124[#All],11,FALSE)</f>
        <v>www.addictions-france.org</v>
      </c>
      <c r="M8" s="270" t="str">
        <f>VLOOKUP(Tableau9[[#This Row],[Colonne1]],Tableau124[#All],12,FALSE)</f>
        <v>Mardi : 9h 11h30</v>
      </c>
      <c r="N8" s="149" t="str">
        <f>VLOOKUP(Tableau9[[#This Row],[Colonne1]],Tableau124[#All],13,FALSE)</f>
        <v>consultations avancées</v>
      </c>
    </row>
    <row r="9" spans="1:15" ht="86.45" customHeight="1">
      <c r="B9" s="164">
        <v>32</v>
      </c>
      <c r="C9" s="156" t="str">
        <f>VLOOKUP(Tableau9[[#This Row],[Colonne1]],Tableau124[#All],2,FALSE)</f>
        <v>Côte-d’Or (21)</v>
      </c>
      <c r="D9" s="156" t="str">
        <f>VLOOKUP(Tableau9[[#This Row],[Colonne1]],Tableau124[#All],3,FALSE)</f>
        <v>Fontaine Les Dijon</v>
      </c>
      <c r="E9" s="156" t="str">
        <f>VLOOKUP(Tableau9[[#This Row],[Colonne1]],Tableau124[#All],4,FALSE)</f>
        <v>21121</v>
      </c>
      <c r="F9" s="156" t="str">
        <f>VLOOKUP(Tableau9[[#This Row],[Colonne1]],Tableau124[#All],5,FALSE)</f>
        <v>Dispositif machureau, 6D boulevard Edmé Nicolas Machureau 21000 Dijon</v>
      </c>
      <c r="G9" s="156" t="str">
        <f>VLOOKUP(Tableau9[[#This Row],[Colonne1]],Tableau124[#All],6,FALSE)</f>
        <v>CSAPA (Consultations avancées)</v>
      </c>
      <c r="H9" s="156" t="str">
        <f>VLOOKUP(Tableau9[[#This Row],[Colonne1]],Tableau124[#All],7,FALSE)</f>
        <v>Association Addictions France 21</v>
      </c>
      <c r="I9" s="156" t="str">
        <f>VLOOKUP(Tableau9[[#This Row],[Colonne1]],Tableau124[#All],8,FALSE)</f>
        <v>Associatif</v>
      </c>
      <c r="J9" s="326" t="str">
        <f>VLOOKUP(Tableau9[[#This Row],[Colonne1]],Tableau124[#All],9,FALSE)</f>
        <v>csapa.dijon@addictions-france.org</v>
      </c>
      <c r="K9" s="378" t="str">
        <f>VLOOKUP(Tableau9[[#This Row],[Colonne1]],Tableau124[#All],10,FALSE)</f>
        <v>03 80 73 26 32</v>
      </c>
      <c r="L9" s="318" t="str">
        <f>VLOOKUP(Tableau9[[#This Row],[Colonne1]],Tableau124[#All],11,FALSE)</f>
        <v>www.addictions-france.org</v>
      </c>
      <c r="M9" s="270" t="str">
        <f>VLOOKUP(Tableau9[[#This Row],[Colonne1]],Tableau124[#All],12,FALSE)</f>
        <v>1 Vendredi sur 2: 9h30  11h30</v>
      </c>
      <c r="N9" s="149" t="str">
        <f>VLOOKUP(Tableau9[[#This Row],[Colonne1]],Tableau124[#All],13,FALSE)</f>
        <v>consultations avancées</v>
      </c>
    </row>
    <row r="10" spans="1:15" ht="86.45" customHeight="1">
      <c r="B10" s="164">
        <v>13</v>
      </c>
      <c r="C10" s="156" t="str">
        <f>VLOOKUP(Tableau9[[#This Row],[Colonne1]],Tableau124[#All],2,FALSE)</f>
        <v>Côte-d’Or (21)</v>
      </c>
      <c r="D10" s="156" t="str">
        <f>VLOOKUP(Tableau9[[#This Row],[Colonne1]],Tableau124[#All],3,FALSE)</f>
        <v>Châtillon-Sur-Seine</v>
      </c>
      <c r="E10" s="156">
        <f>VLOOKUP(Tableau9[[#This Row],[Colonne1]],Tableau124[#All],4,FALSE)</f>
        <v>21400</v>
      </c>
      <c r="F10" s="156" t="str">
        <f>VLOOKUP(Tableau9[[#This Row],[Colonne1]],Tableau124[#All],5,FALSE)</f>
        <v>CH, 2 rue Claude Petiet</v>
      </c>
      <c r="G10" s="156" t="str">
        <f>VLOOKUP(Tableau9[[#This Row],[Colonne1]],Tableau124[#All],6,FALSE)</f>
        <v>CSAPA (consultations avancées)</v>
      </c>
      <c r="H10" s="156" t="str">
        <f>VLOOKUP(Tableau9[[#This Row],[Colonne1]],Tableau124[#All],7,FALSE)</f>
        <v>Association Addictions France 21 - consultations avancées</v>
      </c>
      <c r="I10" s="156" t="str">
        <f>VLOOKUP(Tableau9[[#This Row],[Colonne1]],Tableau124[#All],8,FALSE)</f>
        <v>Associatif</v>
      </c>
      <c r="J10" s="318" t="str">
        <f>VLOOKUP(Tableau9[[#This Row],[Colonne1]],Tableau124[#All],9,FALSE)</f>
        <v>bfc21@addictions-france.org</v>
      </c>
      <c r="K10" s="238" t="str">
        <f>VLOOKUP(Tableau9[[#This Row],[Colonne1]],Tableau124[#All],10,FALSE)</f>
        <v>04 80 73 16 46</v>
      </c>
      <c r="L10" s="324" t="str">
        <f>VLOOKUP(Tableau9[[#This Row],[Colonne1]],Tableau124[#All],11,FALSE)</f>
        <v xml:space="preserve"> </v>
      </c>
      <c r="M10" s="101" t="str">
        <f>VLOOKUP(Tableau9[[#This Row],[Colonne1]],Tableau124[#All],12,FALSE)</f>
        <v>Mardi : 9h-12h30 / 13h-17h (sauf le 1er mardi du mois)</v>
      </c>
      <c r="N10" s="262" t="str">
        <f>VLOOKUP(Tableau9[[#This Row],[Colonne1]],Tableau124[#All],13,FALSE)</f>
        <v>Réalisation de consultations avancées</v>
      </c>
    </row>
    <row r="11" spans="1:15" ht="86.45" customHeight="1">
      <c r="B11" s="164">
        <v>34</v>
      </c>
      <c r="C11" s="156" t="str">
        <f>VLOOKUP(Tableau9[[#This Row],[Colonne1]],Tableau124[#All],2,FALSE)</f>
        <v>Côte-d’Or (21)</v>
      </c>
      <c r="D11" s="156" t="str">
        <f>VLOOKUP(Tableau9[[#This Row],[Colonne1]],Tableau124[#All],3,FALSE)</f>
        <v>Fontaine Les Dijon</v>
      </c>
      <c r="E11" s="156">
        <f>VLOOKUP(Tableau9[[#This Row],[Colonne1]],Tableau124[#All],4,FALSE)</f>
        <v>21121</v>
      </c>
      <c r="F11" s="156" t="str">
        <f>VLOOKUP(Tableau9[[#This Row],[Colonne1]],Tableau124[#All],5,FALSE)</f>
        <v>CHRS Sadi Carnot, 2 Terrue Sadi Carnot</v>
      </c>
      <c r="G11" s="156" t="str">
        <f>VLOOKUP(Tableau9[[#This Row],[Colonne1]],Tableau124[#All],6,FALSE)</f>
        <v>CSAPA (consultations avancées)</v>
      </c>
      <c r="H11" s="156" t="str">
        <f>VLOOKUP(Tableau9[[#This Row],[Colonne1]],Tableau124[#All],7,FALSE)</f>
        <v>Association Addictions France 21 - consultations avancées</v>
      </c>
      <c r="I11" s="156" t="str">
        <f>VLOOKUP(Tableau9[[#This Row],[Colonne1]],Tableau124[#All],8,FALSE)</f>
        <v>Associatif</v>
      </c>
      <c r="J11" s="322" t="str">
        <f>VLOOKUP(Tableau9[[#This Row],[Colonne1]],Tableau124[#All],9,FALSE)</f>
        <v>bfc21@addictions-france.org</v>
      </c>
      <c r="K11" s="243" t="str">
        <f>VLOOKUP(Tableau9[[#This Row],[Colonne1]],Tableau124[#All],10,FALSE)</f>
        <v>05 80 73 16 46</v>
      </c>
      <c r="L11" s="324" t="str">
        <f>VLOOKUP(Tableau9[[#This Row],[Colonne1]],Tableau124[#All],11,FALSE)</f>
        <v xml:space="preserve"> </v>
      </c>
      <c r="M11" s="156" t="str">
        <f>VLOOKUP(Tableau9[[#This Row],[Colonne1]],Tableau124[#All],12,FALSE)</f>
        <v>mardi : 9h -11h</v>
      </c>
      <c r="N11" s="226" t="str">
        <f>VLOOKUP(Tableau9[[#This Row],[Colonne1]],Tableau124[#All],13,FALSE)</f>
        <v>Réalisation de consultations avancées</v>
      </c>
    </row>
    <row r="12" spans="1:15" ht="86.45" customHeight="1">
      <c r="B12" s="164">
        <v>12</v>
      </c>
      <c r="C12" s="156" t="str">
        <f>VLOOKUP(Tableau9[[#This Row],[Colonne1]],Tableau124[#All],2,FALSE)</f>
        <v>Côte-d’Or (21)</v>
      </c>
      <c r="D12" s="221" t="str">
        <f>VLOOKUP(Tableau9[[#This Row],[Colonne1]],Tableau124[#All],3,FALSE)</f>
        <v>Châtillon-Sur-Seine</v>
      </c>
      <c r="E12" s="221">
        <f>VLOOKUP(Tableau9[[#This Row],[Colonne1]],Tableau124[#All],4,FALSE)</f>
        <v>21400</v>
      </c>
      <c r="F12" s="156" t="str">
        <f>VLOOKUP(Tableau9[[#This Row],[Colonne1]],Tableau124[#All],5,FALSE)</f>
        <v>Centre hospitalier, centre de périnatalité, 2 Rue Claude Petiet, 21400 Châtillon sur Seine</v>
      </c>
      <c r="G12" s="221" t="str">
        <f>VLOOKUP(Tableau9[[#This Row],[Colonne1]],Tableau124[#All],6,FALSE)</f>
        <v>CSAPA (consultations avancées)</v>
      </c>
      <c r="H12" s="221" t="str">
        <f>VLOOKUP(Tableau9[[#This Row],[Colonne1]],Tableau124[#All],7,FALSE)</f>
        <v>Association Addictions France</v>
      </c>
      <c r="I12" s="221" t="str">
        <f>VLOOKUP(Tableau9[[#This Row],[Colonne1]],Tableau124[#All],8,FALSE)</f>
        <v>Associatif</v>
      </c>
      <c r="J12" s="317" t="str">
        <f>VLOOKUP(Tableau9[[#This Row],[Colonne1]],Tableau124[#All],9,FALSE)</f>
        <v>csapa.chatillon@addictions-france.org</v>
      </c>
      <c r="K12" s="244" t="str">
        <f>VLOOKUP(Tableau9[[#This Row],[Colonne1]],Tableau124[#All],10,FALSE)</f>
        <v>03 80 73 26 32</v>
      </c>
      <c r="L12" s="317" t="str">
        <f>VLOOKUP(Tableau9[[#This Row],[Colonne1]],Tableau124[#All],11,FALSE)</f>
        <v>www.addictions-france.org</v>
      </c>
      <c r="M12" s="105" t="str">
        <f>VLOOKUP(Tableau9[[#This Row],[Colonne1]],Tableau124[#All],12,FALSE)</f>
        <v xml:space="preserve">Mardi : 10h-12h - 12h30-16h </v>
      </c>
      <c r="N12" s="258" t="str">
        <f>VLOOKUP(Tableau9[[#This Row],[Colonne1]],Tableau124[#All],13,FALSE)</f>
        <v xml:space="preserve">   </v>
      </c>
    </row>
    <row r="13" spans="1:15" ht="86.45" customHeight="1">
      <c r="B13" s="164">
        <v>14</v>
      </c>
      <c r="C13" s="156" t="str">
        <f>VLOOKUP(Tableau9[[#This Row],[Colonne1]],Tableau124[#All],2,FALSE)</f>
        <v>Côte-d’Or (21)</v>
      </c>
      <c r="D13" s="156" t="str">
        <f>VLOOKUP(Tableau9[[#This Row],[Colonne1]],Tableau124[#All],3,FALSE)</f>
        <v>Châtillon-Sur-Seine</v>
      </c>
      <c r="E13" s="156">
        <f>VLOOKUP(Tableau9[[#This Row],[Colonne1]],Tableau124[#All],4,FALSE)</f>
        <v>21400</v>
      </c>
      <c r="F13" s="156" t="str">
        <f>VLOOKUP(Tableau9[[#This Row],[Colonne1]],Tableau124[#All],5,FALSE)</f>
        <v>Centre de périnatalité de proximité, 2 Rue Claude Petiet</v>
      </c>
      <c r="G13" s="156" t="str">
        <f>VLOOKUP(Tableau9[[#This Row],[Colonne1]],Tableau124[#All],6,FALSE)</f>
        <v>CSAPA (consultations avancées)</v>
      </c>
      <c r="H13" s="156" t="str">
        <f>VLOOKUP(Tableau9[[#This Row],[Colonne1]],Tableau124[#All],7,FALSE)</f>
        <v>CSAPA - Association Addictions France - consultations avancées - Centre de Périnatalité de Proximité de Châtillon sur Seine</v>
      </c>
      <c r="I13" s="156" t="str">
        <f>VLOOKUP(Tableau9[[#This Row],[Colonne1]],Tableau124[#All],8,FALSE)</f>
        <v>Associatif</v>
      </c>
      <c r="J13" s="318" t="str">
        <f>VLOOKUP(Tableau9[[#This Row],[Colonne1]],Tableau124[#All],9,FALSE)</f>
        <v>bfc21@addictions-france.org</v>
      </c>
      <c r="K13" s="238" t="str">
        <f>VLOOKUP(Tableau9[[#This Row],[Colonne1]],Tableau124[#All],10,FALSE)</f>
        <v>03.80.81.73.61</v>
      </c>
      <c r="L13" s="317" t="str">
        <f>VLOOKUP(Tableau9[[#This Row],[Colonne1]],Tableau124[#All],11,FALSE)</f>
        <v>www.addictions-france.org</v>
      </c>
      <c r="M13" s="101" t="str">
        <f>VLOOKUP(Tableau9[[#This Row],[Colonne1]],Tableau124[#All],12,FALSE)</f>
        <v>Du lundi au vendredi de 9h00 à 17h00</v>
      </c>
      <c r="N13" s="262" t="str">
        <f>VLOOKUP(Tableau9[[#This Row],[Colonne1]],Tableau124[#All],13,FALSE)</f>
        <v>Réalisation de consultations avancées</v>
      </c>
    </row>
    <row r="14" spans="1:15" ht="86.45" customHeight="1">
      <c r="B14" s="164">
        <v>3</v>
      </c>
      <c r="C14" s="156" t="str">
        <f>VLOOKUP(Tableau9[[#This Row],[Colonne1]],Tableau124[#All],2,FALSE)</f>
        <v>Côte-d’Or (21)</v>
      </c>
      <c r="D14" s="156" t="str">
        <f>VLOOKUP(Tableau9[[#This Row],[Colonne1]],Tableau124[#All],3,FALSE)</f>
        <v>Beaune</v>
      </c>
      <c r="E14" s="156">
        <f>VLOOKUP(Tableau9[[#This Row],[Colonne1]],Tableau124[#All],4,FALSE)</f>
        <v>21200</v>
      </c>
      <c r="F14" s="156" t="str">
        <f>VLOOKUP(Tableau9[[#This Row],[Colonne1]],Tableau124[#All],5,FALSE)</f>
        <v>10, avenue Jaffelin 21200 Beaune</v>
      </c>
      <c r="G14" s="156" t="str">
        <f>VLOOKUP(Tableau9[[#This Row],[Colonne1]],Tableau124[#All],6,FALSE)</f>
        <v>Antenne CSAPA</v>
      </c>
      <c r="H14" s="156" t="str">
        <f>VLOOKUP(Tableau9[[#This Row],[Colonne1]],Tableau124[#All],7,FALSE)</f>
        <v>Association Addictions France 21</v>
      </c>
      <c r="I14" s="156" t="str">
        <f>VLOOKUP(Tableau9[[#This Row],[Colonne1]],Tableau124[#All],8,FALSE)</f>
        <v>Associatif</v>
      </c>
      <c r="J14" s="318" t="str">
        <f>VLOOKUP(Tableau9[[#This Row],[Colonne1]],Tableau124[#All],9,FALSE)</f>
        <v>csapa.beaune@addictions-France.org</v>
      </c>
      <c r="K14" s="238" t="str">
        <f>VLOOKUP(Tableau9[[#This Row],[Colonne1]],Tableau124[#All],10,FALSE)</f>
        <v>03 80 25 73 67</v>
      </c>
      <c r="L14" s="318" t="str">
        <f>VLOOKUP(Tableau9[[#This Row],[Colonne1]],Tableau124[#All],11,FALSE)</f>
        <v>www.addictions-france.org</v>
      </c>
      <c r="M14" s="101" t="str">
        <f>VLOOKUP(Tableau9[[#This Row],[Colonne1]],Tableau124[#All],12,FALSE)</f>
        <v xml:space="preserve">Lu : 9h-16h30 / Ma : 9h 14h / Me : 9h 12h / Je : 9h 16h / Ve : 9h 12h </v>
      </c>
      <c r="N14" s="258" t="str">
        <f>VLOOKUP(Tableau9[[#This Row],[Colonne1]],Tableau124[#All],13,FALSE)</f>
        <v xml:space="preserve">  </v>
      </c>
    </row>
    <row r="15" spans="1:15" ht="86.45" customHeight="1">
      <c r="B15" s="164">
        <v>8</v>
      </c>
      <c r="C15" s="156" t="str">
        <f>VLOOKUP(Tableau9[[#This Row],[Colonne1]],Tableau124[#All],2,FALSE)</f>
        <v>Côte-d’Or (21)</v>
      </c>
      <c r="D15" s="156" t="str">
        <f>VLOOKUP(Tableau9[[#This Row],[Colonne1]],Tableau124[#All],3,FALSE)</f>
        <v>Châtillon-Sur-Seine</v>
      </c>
      <c r="E15" s="156">
        <f>VLOOKUP(Tableau9[[#This Row],[Colonne1]],Tableau124[#All],4,FALSE)</f>
        <v>21400</v>
      </c>
      <c r="F15" s="156" t="str">
        <f>VLOOKUP(Tableau9[[#This Row],[Colonne1]],Tableau124[#All],5,FALSE)</f>
        <v>Maison de santé- rue Claude Petiet 21400 Châtillon sur Seine</v>
      </c>
      <c r="G15" s="156" t="str">
        <f>VLOOKUP(Tableau9[[#This Row],[Colonne1]],Tableau124[#All],6,FALSE)</f>
        <v>Antenne CSAPA</v>
      </c>
      <c r="H15" s="156" t="str">
        <f>VLOOKUP(Tableau9[[#This Row],[Colonne1]],Tableau124[#All],7,FALSE)</f>
        <v>Association Addictions France 21</v>
      </c>
      <c r="I15" s="156" t="str">
        <f>VLOOKUP(Tableau9[[#This Row],[Colonne1]],Tableau124[#All],8,FALSE)</f>
        <v>Associatif</v>
      </c>
      <c r="J15" s="318" t="str">
        <f>VLOOKUP(Tableau9[[#This Row],[Colonne1]],Tableau124[#All],9,FALSE)</f>
        <v>csapa.chatillon@addictions-france.org</v>
      </c>
      <c r="K15" s="238" t="str">
        <f>VLOOKUP(Tableau9[[#This Row],[Colonne1]],Tableau124[#All],10,FALSE)</f>
        <v>03 80 73 26 32</v>
      </c>
      <c r="L15" s="318" t="str">
        <f>VLOOKUP(Tableau9[[#This Row],[Colonne1]],Tableau124[#All],11,FALSE)</f>
        <v>www.addictions-france.org</v>
      </c>
      <c r="M15" s="101" t="str">
        <f>VLOOKUP(Tableau9[[#This Row],[Colonne1]],Tableau124[#All],12,FALSE)</f>
        <v>Mardi, mercredi, jeudi : 10h - 16h</v>
      </c>
      <c r="N15" s="258" t="str">
        <f>VLOOKUP(Tableau9[[#This Row],[Colonne1]],Tableau124[#All],13,FALSE)</f>
        <v xml:space="preserve">  </v>
      </c>
    </row>
    <row r="16" spans="1:15" ht="86.45" customHeight="1">
      <c r="B16" s="164">
        <v>39</v>
      </c>
      <c r="C16" s="156" t="str">
        <f>VLOOKUP(Tableau9[[#This Row],[Colonne1]],Tableau124[#All],2,FALSE)</f>
        <v>Côte-d’Or (21)</v>
      </c>
      <c r="D16" s="156" t="str">
        <f>VLOOKUP(Tableau9[[#This Row],[Colonne1]],Tableau124[#All],3,FALSE)</f>
        <v>Saulieu</v>
      </c>
      <c r="E16" s="156">
        <f>VLOOKUP(Tableau9[[#This Row],[Colonne1]],Tableau124[#All],4,FALSE)</f>
        <v>21210</v>
      </c>
      <c r="F16" s="156" t="str">
        <f>VLOOKUP(Tableau9[[#This Row],[Colonne1]],Tableau124[#All],5,FALSE)</f>
        <v>2 rue Courtépée</v>
      </c>
      <c r="G16" s="156" t="str">
        <f>VLOOKUP(Tableau9[[#This Row],[Colonne1]],Tableau124[#All],6,FALSE)</f>
        <v>Antenne CSAPA</v>
      </c>
      <c r="H16" s="156" t="str">
        <f>VLOOKUP(Tableau9[[#This Row],[Colonne1]],Tableau124[#All],7,FALSE)</f>
        <v>Association Addictions France 21</v>
      </c>
      <c r="I16" s="156" t="str">
        <f>VLOOKUP(Tableau9[[#This Row],[Colonne1]],Tableau124[#All],8,FALSE)</f>
        <v>Associatif</v>
      </c>
      <c r="J16" s="318" t="str">
        <f>VLOOKUP(Tableau9[[#This Row],[Colonne1]],Tableau124[#All],9,FALSE)</f>
        <v>csapa.dijon@addictions-france.org</v>
      </c>
      <c r="K16" s="238" t="str">
        <f>VLOOKUP(Tableau9[[#This Row],[Colonne1]],Tableau124[#All],10,FALSE)</f>
        <v>03 80 73 26 32</v>
      </c>
      <c r="L16" s="324" t="str">
        <f>VLOOKUP(Tableau9[[#This Row],[Colonne1]],Tableau124[#All],11,FALSE)</f>
        <v xml:space="preserve"> </v>
      </c>
      <c r="M16" s="101" t="str">
        <f>VLOOKUP(Tableau9[[#This Row],[Colonne1]],Tableau124[#All],12,FALSE)</f>
        <v>Jeudi : semaine paire 10h-16h30, semaine impaire 13h30 17h</v>
      </c>
      <c r="N16" s="258" t="str">
        <f>VLOOKUP(Tableau9[[#This Row],[Colonne1]],Tableau124[#All],13,FALSE)</f>
        <v xml:space="preserve">  </v>
      </c>
    </row>
    <row r="17" spans="2:14" ht="86.45" customHeight="1">
      <c r="B17" s="164">
        <v>1</v>
      </c>
      <c r="C17" s="212" t="str">
        <f>VLOOKUP(Tableau9[[#This Row],[Colonne1]],Tableau124[#All],2,FALSE)</f>
        <v>Côte-d’Or (21)</v>
      </c>
      <c r="D17" s="212" t="str">
        <f>VLOOKUP(Tableau9[[#This Row],[Colonne1]],Tableau124[#All],3,FALSE)</f>
        <v>Auxonne</v>
      </c>
      <c r="E17" s="212" t="str">
        <f>VLOOKUP(Tableau9[[#This Row],[Colonne1]],Tableau124[#All],4,FALSE)</f>
        <v>21121</v>
      </c>
      <c r="F17" s="212" t="str">
        <f>VLOOKUP(Tableau9[[#This Row],[Colonne1]],Tableau124[#All],5,FALSE)</f>
        <v>Centre hospitalier, 5 rue du Château 21130 Auxonne</v>
      </c>
      <c r="G17" s="212" t="str">
        <f>VLOOKUP(Tableau9[[#This Row],[Colonne1]],Tableau124[#All],6,FALSE)</f>
        <v>CJC</v>
      </c>
      <c r="H17" s="212" t="str">
        <f>VLOOKUP(Tableau9[[#This Row],[Colonne1]],Tableau124[#All],7,FALSE)</f>
        <v>Association Addictions France 21</v>
      </c>
      <c r="I17" s="212" t="str">
        <f>VLOOKUP(Tableau9[[#This Row],[Colonne1]],Tableau124[#All],8,FALSE)</f>
        <v>Associatif</v>
      </c>
      <c r="J17" s="368" t="str">
        <f>VLOOKUP(Tableau9[[#This Row],[Colonne1]],Tableau124[#All],9,FALSE)</f>
        <v>csapa.dijon@addictions-france.org</v>
      </c>
      <c r="K17" s="241" t="str">
        <f>VLOOKUP(Tableau9[[#This Row],[Colonne1]],Tableau124[#All],10,FALSE)</f>
        <v>03 80 73 26 32</v>
      </c>
      <c r="L17" s="381" t="str">
        <f>VLOOKUP(Tableau9[[#This Row],[Colonne1]],Tableau124[#All],11,FALSE)</f>
        <v>www.addictions-france.org</v>
      </c>
      <c r="M17" s="273" t="str">
        <f>VLOOKUP(Tableau9[[#This Row],[Colonne1]],Tableau124[#All],12,FALSE)</f>
        <v xml:space="preserve">Lundi : 14h-17h
</v>
      </c>
      <c r="N17" s="149" t="str">
        <f>VLOOKUP(Tableau9[[#This Row],[Colonne1]],Tableau124[#All],13,FALSE)</f>
        <v xml:space="preserve">  </v>
      </c>
    </row>
    <row r="18" spans="2:14" ht="86.45" customHeight="1">
      <c r="B18" s="164">
        <v>9</v>
      </c>
      <c r="C18" s="212" t="str">
        <f>VLOOKUP(Tableau9[[#This Row],[Colonne1]],Tableau124[#All],2,FALSE)</f>
        <v>Côte-d’Or (21)</v>
      </c>
      <c r="D18" s="234" t="str">
        <f>VLOOKUP(Tableau9[[#This Row],[Colonne1]],Tableau124[#All],3,FALSE)</f>
        <v>Châtillon-Sur-Seine</v>
      </c>
      <c r="E18" s="234">
        <f>VLOOKUP(Tableau9[[#This Row],[Colonne1]],Tableau124[#All],4,FALSE)</f>
        <v>21400</v>
      </c>
      <c r="F18" s="212" t="str">
        <f>VLOOKUP(Tableau9[[#This Row],[Colonne1]],Tableau124[#All],5,FALSE)</f>
        <v>Lycée Désiré Nisard,19 rue de Seine 21400 Châtillon sur Seine</v>
      </c>
      <c r="G18" s="234" t="str">
        <f>VLOOKUP(Tableau9[[#This Row],[Colonne1]],Tableau124[#All],6,FALSE)</f>
        <v>CJC</v>
      </c>
      <c r="H18" s="234" t="str">
        <f>VLOOKUP(Tableau9[[#This Row],[Colonne1]],Tableau124[#All],7,FALSE)</f>
        <v>Association Addictions France 21</v>
      </c>
      <c r="I18" s="212" t="str">
        <f>VLOOKUP(Tableau9[[#This Row],[Colonne1]],Tableau124[#All],8,FALSE)</f>
        <v>Associatif</v>
      </c>
      <c r="J18" s="589" t="str">
        <f>VLOOKUP(Tableau9[[#This Row],[Colonne1]],Tableau124[#All],9,FALSE)</f>
        <v>csapa.chatillon@addictions-france.org</v>
      </c>
      <c r="K18" s="591" t="str">
        <f>VLOOKUP(Tableau9[[#This Row],[Colonne1]],Tableau124[#All],10,FALSE)</f>
        <v>03 80 73 26 32</v>
      </c>
      <c r="L18" s="589" t="str">
        <f>VLOOKUP(Tableau9[[#This Row],[Colonne1]],Tableau124[#All],11,FALSE)</f>
        <v>www.addictions-france.org</v>
      </c>
      <c r="M18" s="234" t="str">
        <f>VLOOKUP(Tableau9[[#This Row],[Colonne1]],Tableau124[#All],12,FALSE)</f>
        <v>Mardi : 10h 12h - 12h30 14h30</v>
      </c>
      <c r="N18" s="149" t="str">
        <f>VLOOKUP(Tableau9[[#This Row],[Colonne1]],Tableau124[#All],13,FALSE)</f>
        <v xml:space="preserve">  </v>
      </c>
    </row>
    <row r="19" spans="2:14" ht="86.45" customHeight="1">
      <c r="B19" s="164">
        <v>10</v>
      </c>
      <c r="C19" s="212" t="str">
        <f>VLOOKUP(Tableau9[[#This Row],[Colonne1]],Tableau124[#All],2,FALSE)</f>
        <v>Côte-d’Or (21)</v>
      </c>
      <c r="D19" s="212" t="str">
        <f>VLOOKUP(Tableau9[[#This Row],[Colonne1]],Tableau124[#All],3,FALSE)</f>
        <v>Châtillon-Sur-Seine</v>
      </c>
      <c r="E19" s="212">
        <f>VLOOKUP(Tableau9[[#This Row],[Colonne1]],Tableau124[#All],4,FALSE)</f>
        <v>21400</v>
      </c>
      <c r="F19" s="212" t="str">
        <f>VLOOKUP(Tableau9[[#This Row],[Colonne1]],Tableau124[#All],5,FALSE)</f>
        <v>Lycée La Barotte, route de Langres 21400 Châtillon sur Seine</v>
      </c>
      <c r="G19" s="212" t="str">
        <f>VLOOKUP(Tableau9[[#This Row],[Colonne1]],Tableau124[#All],6,FALSE)</f>
        <v>CJC</v>
      </c>
      <c r="H19" s="212" t="str">
        <f>VLOOKUP(Tableau9[[#This Row],[Colonne1]],Tableau124[#All],7,FALSE)</f>
        <v>Association Addictions France 21</v>
      </c>
      <c r="I19" s="212" t="str">
        <f>VLOOKUP(Tableau9[[#This Row],[Colonne1]],Tableau124[#All],8,FALSE)</f>
        <v>Associatif</v>
      </c>
      <c r="J19" s="370" t="str">
        <f>VLOOKUP(Tableau9[[#This Row],[Colonne1]],Tableau124[#All],9,FALSE)</f>
        <v>csapa.chatillon@addictions-france.org</v>
      </c>
      <c r="K19" s="377" t="str">
        <f>VLOOKUP(Tableau9[[#This Row],[Colonne1]],Tableau124[#All],10,FALSE)</f>
        <v>03 80 73 26 32</v>
      </c>
      <c r="L19" s="370" t="str">
        <f>VLOOKUP(Tableau9[[#This Row],[Colonne1]],Tableau124[#All],11,FALSE)</f>
        <v>www.addictions-france.org</v>
      </c>
      <c r="M19" s="212" t="str">
        <f>VLOOKUP(Tableau9[[#This Row],[Colonne1]],Tableau124[#All],12,FALSE)</f>
        <v>Mardi : 10h 12h - 12h30 14h30</v>
      </c>
      <c r="N19" s="149" t="str">
        <f>VLOOKUP(Tableau9[[#This Row],[Colonne1]],Tableau124[#All],13,FALSE)</f>
        <v xml:space="preserve">  </v>
      </c>
    </row>
    <row r="20" spans="2:14" ht="86.45" customHeight="1">
      <c r="B20" s="164">
        <v>11</v>
      </c>
      <c r="C20" s="212" t="str">
        <f>VLOOKUP(Tableau9[[#This Row],[Colonne1]],Tableau124[#All],2,FALSE)</f>
        <v>Côte-d’Or (21)</v>
      </c>
      <c r="D20" s="212" t="str">
        <f>VLOOKUP(Tableau9[[#This Row],[Colonne1]],Tableau124[#All],3,FALSE)</f>
        <v>Châtillon-Sur-Seine</v>
      </c>
      <c r="E20" s="212">
        <f>VLOOKUP(Tableau9[[#This Row],[Colonne1]],Tableau124[#All],4,FALSE)</f>
        <v>21400</v>
      </c>
      <c r="F20" s="212" t="str">
        <f>VLOOKUP(Tableau9[[#This Row],[Colonne1]],Tableau124[#All],5,FALSE)</f>
        <v>Maison de santé, rue Claude Petiet 21400 Châtillon sur Seine</v>
      </c>
      <c r="G20" s="212" t="str">
        <f>VLOOKUP(Tableau9[[#This Row],[Colonne1]],Tableau124[#All],6,FALSE)</f>
        <v>CJC</v>
      </c>
      <c r="H20" s="212" t="str">
        <f>VLOOKUP(Tableau9[[#This Row],[Colonne1]],Tableau124[#All],7,FALSE)</f>
        <v>Association Addictions France 21</v>
      </c>
      <c r="I20" s="212" t="str">
        <f>VLOOKUP(Tableau9[[#This Row],[Colonne1]],Tableau124[#All],8,FALSE)</f>
        <v>Associatif</v>
      </c>
      <c r="J20" s="370" t="str">
        <f>VLOOKUP(Tableau9[[#This Row],[Colonne1]],Tableau124[#All],9,FALSE)</f>
        <v>csapa.chatillon@addictions-france.org</v>
      </c>
      <c r="K20" s="377" t="str">
        <f>VLOOKUP(Tableau9[[#This Row],[Colonne1]],Tableau124[#All],10,FALSE)</f>
        <v>03 80 73 26 32</v>
      </c>
      <c r="L20" s="370" t="str">
        <f>VLOOKUP(Tableau9[[#This Row],[Colonne1]],Tableau124[#All],11,FALSE)</f>
        <v>www.addictions-france.org</v>
      </c>
      <c r="M20" s="212" t="str">
        <f>VLOOKUP(Tableau9[[#This Row],[Colonne1]],Tableau124[#All],12,FALSE)</f>
        <v>Mardi : 10h 12h - 12h30 14h30</v>
      </c>
      <c r="N20" s="149" t="str">
        <f>VLOOKUP(Tableau9[[#This Row],[Colonne1]],Tableau124[#All],13,FALSE)</f>
        <v xml:space="preserve">   </v>
      </c>
    </row>
    <row r="21" spans="2:14" ht="86.45" customHeight="1">
      <c r="B21" s="164">
        <v>26</v>
      </c>
      <c r="C21" s="127" t="str">
        <f>VLOOKUP(Tableau9[[#This Row],[Colonne1]],Tableau124[#All],2,FALSE)</f>
        <v>Côte-d’Or (21)</v>
      </c>
      <c r="D21" s="127" t="str">
        <f>VLOOKUP(Tableau9[[#This Row],[Colonne1]],Tableau124[#All],3,FALSE)</f>
        <v>Dijon</v>
      </c>
      <c r="E21" s="127" t="str">
        <f>VLOOKUP(Tableau9[[#This Row],[Colonne1]],Tableau124[#All],4,FALSE)</f>
        <v>21000</v>
      </c>
      <c r="F21" s="127" t="str">
        <f>VLOOKUP(Tableau9[[#This Row],[Colonne1]],Tableau124[#All],5,FALSE)</f>
        <v>31 rue marceau</v>
      </c>
      <c r="G21" s="98" t="str">
        <f>VLOOKUP(Tableau9[[#This Row],[Colonne1]],Tableau124[#All],6,FALSE)</f>
        <v>SMRA</v>
      </c>
      <c r="H21" s="127" t="str">
        <f>VLOOKUP(Tableau9[[#This Row],[Colonne1]],Tableau124[#All],7,FALSE)</f>
        <v>Association du Renouveau</v>
      </c>
      <c r="I21" s="127" t="str">
        <f>VLOOKUP(Tableau9[[#This Row],[Colonne1]],Tableau124[#All],8,FALSE)</f>
        <v>Associatif</v>
      </c>
      <c r="J21" s="340" t="str">
        <f>VLOOKUP(Tableau9[[#This Row],[Colonne1]],Tableau124[#All],9,FALSE)</f>
        <v>cssr@renouveau-asso.fr</v>
      </c>
      <c r="K21" s="374" t="str">
        <f>VLOOKUP(Tableau9[[#This Row],[Colonne1]],Tableau124[#All],10,FALSE)</f>
        <v>0380288551</v>
      </c>
      <c r="L21" s="340" t="str">
        <f>VLOOKUP(Tableau9[[#This Row],[Colonne1]],Tableau124[#All],11,FALSE)</f>
        <v>https://renouveau-asso.com</v>
      </c>
      <c r="M21" s="127" t="str">
        <f>VLOOKUP(Tableau9[[#This Row],[Colonne1]],Tableau124[#All],12,FALSE)</f>
        <v>Tous les jours</v>
      </c>
      <c r="N21" s="585" t="str">
        <f>VLOOKUP(Tableau9[[#This Row],[Colonne1]],Tableau124[#All],13,FALSE)</f>
        <v>Intervention auprès public majeur ; 
Intervention auprès d'un public majeur. Durée: quelque semaines ; 
Centre Marceau : en hospitalisation complète ou en hôpital de jour (séjours séquentiels possibles) 
SOLAL : 2ième unité dédiée aux troubles cognitifs complexes liés aux addictions  
Equipe mobile addicto: intervention au domicile (amont et aval)
Consultations externes possibles</v>
      </c>
    </row>
    <row r="22" spans="2:14" ht="75">
      <c r="B22" s="164">
        <v>15</v>
      </c>
      <c r="C22" s="339" t="str">
        <f>VLOOKUP(Tableau9[[#This Row],[Colonne1]],Tableau124[#All],2,FALSE)</f>
        <v>Côte-d’Or (21)</v>
      </c>
      <c r="D22" s="127" t="str">
        <f>VLOOKUP(Tableau9[[#This Row],[Colonne1]],Tableau124[#All],3,FALSE)</f>
        <v>Dijon</v>
      </c>
      <c r="E22" s="127">
        <f>VLOOKUP(Tableau9[[#This Row],[Colonne1]],Tableau124[#All],4,FALSE)</f>
        <v>21000</v>
      </c>
      <c r="F22" s="127" t="str">
        <f>VLOOKUP(Tableau9[[#This Row],[Colonne1]],Tableau124[#All],5,FALSE)</f>
        <v xml:space="preserve">31 rue Marceau </v>
      </c>
      <c r="G22" s="127" t="str">
        <f>VLOOKUP(Tableau9[[#This Row],[Colonne1]],Tableau124[#All],6,FALSE)</f>
        <v>Equipe mobile SMRA</v>
      </c>
      <c r="H22" s="127" t="str">
        <f>VLOOKUP(Tableau9[[#This Row],[Colonne1]],Tableau124[#All],7,FALSE)</f>
        <v xml:space="preserve">SMRA Renouveau </v>
      </c>
      <c r="I22" s="339" t="str">
        <f>VLOOKUP(Tableau9[[#This Row],[Colonne1]],Tableau124[#All],8,FALSE)</f>
        <v>Associatif</v>
      </c>
      <c r="J22" s="340" t="str">
        <f>VLOOKUP(Tableau9[[#This Row],[Colonne1]],Tableau124[#All],9,FALSE)</f>
        <v>cssr@renouveau-asso.fr</v>
      </c>
      <c r="K22" s="374" t="str">
        <f>VLOOKUP(Tableau9[[#This Row],[Colonne1]],Tableau124[#All],10,FALSE)</f>
        <v>03 45 34 16 96.</v>
      </c>
      <c r="L22" s="529" t="str">
        <f>VLOOKUP(Tableau9[[#This Row],[Colonne1]],Tableau124[#All],11,FALSE)</f>
        <v>https://renouveau-asso.com</v>
      </c>
      <c r="M22" s="127" t="str">
        <f>VLOOKUP(Tableau9[[#This Row],[Colonne1]],Tableau124[#All],12,FALSE)</f>
        <v>Du Lundi au vendredi de 9h  à 12h et de 13h30 à 17h30</v>
      </c>
      <c r="N22" s="530" t="str">
        <f>VLOOKUP(Tableau9[[#This Row],[Colonne1]],Tableau124[#All],13,FALSE)</f>
        <v>Intervention à domicile pour sécurisation du parcours  du patient (Amont et/ou aval)
Modalité d'intervention : suivant un parcours d'intervention</v>
      </c>
    </row>
    <row r="23" spans="2:14" ht="86.45" customHeight="1">
      <c r="B23" s="164">
        <v>16</v>
      </c>
      <c r="C23" s="203" t="str">
        <f>VLOOKUP(Tableau9[[#This Row],[Colonne1]],Tableau124[#All],2,FALSE)</f>
        <v>Côte-d’Or (21)</v>
      </c>
      <c r="D23" s="203" t="str">
        <f>VLOOKUP(Tableau9[[#This Row],[Colonne1]],Tableau124[#All],3,FALSE)</f>
        <v>Dijon</v>
      </c>
      <c r="E23" s="203" t="str">
        <f>VLOOKUP(Tableau9[[#This Row],[Colonne1]],Tableau124[#All],4,FALSE)</f>
        <v>21000</v>
      </c>
      <c r="F23" s="203" t="str">
        <f>VLOOKUP(Tableau9[[#This Row],[Colonne1]],Tableau124[#All],5,FALSE)</f>
        <v>9 Rue Févret</v>
      </c>
      <c r="G23" s="203" t="str">
        <f>VLOOKUP(Tableau9[[#This Row],[Colonne1]],Tableau124[#All],6,FALSE)</f>
        <v>CAARUD de réduction des risques et des dommages à distance</v>
      </c>
      <c r="H23" s="203" t="str">
        <f>VLOOKUP(Tableau9[[#This Row],[Colonne1]],Tableau124[#All],7,FALSE)</f>
        <v>Caarud le SPOT - SEDAP</v>
      </c>
      <c r="I23" s="203" t="str">
        <f>VLOOKUP(Tableau9[[#This Row],[Colonne1]],Tableau124[#All],8,FALSE)</f>
        <v>Associatif</v>
      </c>
      <c r="J23" s="359" t="str">
        <f>VLOOKUP(Tableau9[[#This Row],[Colonne1]],Tableau124[#All],9,FALSE)</f>
        <v>caarud@addictions-sedap.fr</v>
      </c>
      <c r="K23" s="240" t="str">
        <f>VLOOKUP(Tableau9[[#This Row],[Colonne1]],Tableau124[#All],10,FALSE)</f>
        <v>0688223918</v>
      </c>
      <c r="L23" s="359" t="str">
        <f>VLOOKUP(Tableau9[[#This Row],[Colonne1]],Tableau124[#All],11,FALSE)</f>
        <v>www.addictions-sedap.fr</v>
      </c>
      <c r="M23" s="259" t="str">
        <f>VLOOKUP(Tableau9[[#This Row],[Colonne1]],Tableau124[#All],12,FALSE)</f>
        <v>&gt; CAARUD : Lundi : de 10h30 à 14h ( accueil réservé aux femmes ) et de 14h à 17h00 ) ( Accueil mixte ) 
Mercredi : 10h30 à 17h
&gt; Intervention au CSAPA Belem : à la maison d'arrêt de DIJON deux mardis par mois de 14h à 16h
&gt; Permanence devant le CHRS Sadi Carnot deux mardis par mois de 16h30 à 18h30 avec le camping-car
&gt; Permanence au CHRS Machureau deux vendredis par mois de 14h à 16h</v>
      </c>
      <c r="N23" s="276" t="str">
        <f>VLOOKUP(Tableau9[[#This Row],[Colonne1]],Tableau124[#All],13,FALSE)</f>
        <v xml:space="preserve">- unité mobile pouvant servir de lieu d'accueil (déplacement en Côte-d-Or) ; 
- programme d'échange de seringues ;
- intervention en maraude ; 
- intervention en milieu festif ;
- intervention en milieu pénitentier à la Maison d'arrêt de Dijon. </v>
      </c>
    </row>
    <row r="24" spans="2:14" ht="86.45" customHeight="1">
      <c r="B24" s="164">
        <v>18</v>
      </c>
      <c r="C24" s="111" t="str">
        <f>VLOOKUP(Tableau9[[#This Row],[Colonne1]],Tableau124[#All],2,FALSE)</f>
        <v>Côte-d’Or (21)</v>
      </c>
      <c r="D24" s="111" t="str">
        <f>VLOOKUP(Tableau9[[#This Row],[Colonne1]],Tableau124[#All],3,FALSE)</f>
        <v>Dijon</v>
      </c>
      <c r="E24" s="111" t="str">
        <f>VLOOKUP(Tableau9[[#This Row],[Colonne1]],Tableau124[#All],4,FALSE)</f>
        <v>21000</v>
      </c>
      <c r="F24" s="111" t="str">
        <f>VLOOKUP(Tableau9[[#This Row],[Colonne1]],Tableau124[#All],5,FALSE)</f>
        <v>Centre Georges François Leclerc
1 Rue Professeur Marion</v>
      </c>
      <c r="G24" s="111" t="str">
        <f>VLOOKUP(Tableau9[[#This Row],[Colonne1]],Tableau124[#All],6,FALSE)</f>
        <v>Consultations Hospitalières externes d'addictologie</v>
      </c>
      <c r="H24" s="111" t="str">
        <f>VLOOKUP(Tableau9[[#This Row],[Colonne1]],Tableau124[#All],7,FALSE)</f>
        <v>Centre Georges François Leclerc</v>
      </c>
      <c r="I24" s="111" t="str">
        <f>VLOOKUP(Tableau9[[#This Row],[Colonne1]],Tableau124[#All],8,FALSE)</f>
        <v>Public</v>
      </c>
      <c r="J24" s="311" t="str">
        <f>VLOOKUP(Tableau9[[#This Row],[Colonne1]],Tableau124[#All],9,FALSE)</f>
        <v>Secretariat-Consultation@cgfl.fr</v>
      </c>
      <c r="K24" s="239" t="str">
        <f>VLOOKUP(Tableau9[[#This Row],[Colonne1]],Tableau124[#All],10,FALSE)</f>
        <v>03 80 73 77 40</v>
      </c>
      <c r="L24" s="311" t="str">
        <f>VLOOKUP(Tableau9[[#This Row],[Colonne1]],Tableau124[#All],11,FALSE)</f>
        <v>https://www.cgfl.fr/?s=tabacologie</v>
      </c>
      <c r="M24" s="129" t="str">
        <f>VLOOKUP(Tableau9[[#This Row],[Colonne1]],Tableau124[#All],12,FALSE)</f>
        <v>Lundi après-midi de 15h à 17h
Mardi matin de 9h à 12h</v>
      </c>
      <c r="N24" s="130" t="str">
        <f>VLOOKUP(Tableau9[[#This Row],[Colonne1]],Tableau124[#All],13,FALSE)</f>
        <v>Intervention auprès de public majeurs</v>
      </c>
    </row>
    <row r="25" spans="2:14" ht="86.45" customHeight="1">
      <c r="B25" s="164">
        <v>40</v>
      </c>
      <c r="C25" s="111" t="str">
        <f>VLOOKUP(Tableau9[[#This Row],[Colonne1]],Tableau124[#All],2,FALSE)</f>
        <v>Côte-d’Or (21)</v>
      </c>
      <c r="D25" s="111" t="str">
        <f>VLOOKUP(Tableau9[[#This Row],[Colonne1]],Tableau124[#All],3,FALSE)</f>
        <v>Saulieu</v>
      </c>
      <c r="E25" s="111">
        <f>VLOOKUP(Tableau9[[#This Row],[Colonne1]],Tableau124[#All],4,FALSE)</f>
        <v>21210</v>
      </c>
      <c r="F25" s="111" t="str">
        <f>VLOOKUP(Tableau9[[#This Row],[Colonne1]],Tableau124[#All],5,FALSE)</f>
        <v>2 Rue Claude Courtepée</v>
      </c>
      <c r="G25" s="111" t="str">
        <f>VLOOKUP(Tableau9[[#This Row],[Colonne1]],Tableau124[#All],6,FALSE)</f>
        <v>Consultations Hospitalières externes d'addictologie (autre lieu d'intervention)</v>
      </c>
      <c r="H25" s="111" t="str">
        <f>VLOOKUP(Tableau9[[#This Row],[Colonne1]],Tableau124[#All],7,FALSE)</f>
        <v>CENTRE HOSPITALIER - CHA (CENTRE HOSPITALIER ROBERT MORLEVAT  SEMUR EN AUXOIS)</v>
      </c>
      <c r="I25" s="111" t="str">
        <f>VLOOKUP(Tableau9[[#This Row],[Colonne1]],Tableau124[#All],8,FALSE)</f>
        <v>Public</v>
      </c>
      <c r="J25" s="311" t="str">
        <f>VLOOKUP(Tableau9[[#This Row],[Colonne1]],Tableau124[#All],9,FALSE)</f>
        <v>secretariat.psychiatrie@ch-semur.fr</v>
      </c>
      <c r="K25" s="239" t="str">
        <f>VLOOKUP(Tableau9[[#This Row],[Colonne1]],Tableau124[#All],10,FALSE)</f>
        <v>03.80.89.64.72</v>
      </c>
      <c r="L25" s="311" t="str">
        <f>VLOOKUP(Tableau9[[#This Row],[Colonne1]],Tableau124[#All],11,FALSE)</f>
        <v>www.ch-semur.fr</v>
      </c>
      <c r="M25" s="129" t="str">
        <f>VLOOKUP(Tableau9[[#This Row],[Colonne1]],Tableau124[#All],12,FALSE)</f>
        <v>SUR RDV</v>
      </c>
      <c r="N25" s="130" t="str">
        <f>VLOOKUP(Tableau9[[#This Row],[Colonne1]],Tableau124[#All],13,FALSE)</f>
        <v>Intervention auprès de public majeurs et mineurs, ainsi qu'au Centre Hospitalier Robert Morlevat</v>
      </c>
    </row>
    <row r="26" spans="2:14" ht="86.45" customHeight="1">
      <c r="B26" s="164">
        <v>37</v>
      </c>
      <c r="C26" s="213" t="str">
        <f>VLOOKUP(Tableau9[[#This Row],[Colonne1]],Tableau124[#All],2,FALSE)</f>
        <v>Côte-d’Or (21)</v>
      </c>
      <c r="D26" s="213" t="str">
        <f>VLOOKUP(Tableau9[[#This Row],[Colonne1]],Tableau124[#All],3,FALSE)</f>
        <v>Montbard</v>
      </c>
      <c r="E26" s="213">
        <f>VLOOKUP(Tableau9[[#This Row],[Colonne1]],Tableau124[#All],4,FALSE)</f>
        <v>21500</v>
      </c>
      <c r="F26" s="213" t="str">
        <f>VLOOKUP(Tableau9[[#This Row],[Colonne1]],Tableau124[#All],5,FALSE)</f>
        <v>Rue Auguste Carre</v>
      </c>
      <c r="G26" s="213" t="str">
        <f>VLOOKUP(Tableau9[[#This Row],[Colonne1]],Tableau124[#All],6,FALSE)</f>
        <v>Consultations Hospitalières externes d'addictologie (autre lieu d'intervention)</v>
      </c>
      <c r="H26" s="213" t="str">
        <f>VLOOKUP(Tableau9[[#This Row],[Colonne1]],Tableau124[#All],7,FALSE)</f>
        <v>Centre Hospitalier - CHA (Centre Hospitalier Robert Morlevat)</v>
      </c>
      <c r="I26" s="213" t="str">
        <f>VLOOKUP(Tableau9[[#This Row],[Colonne1]],Tableau124[#All],8,FALSE)</f>
        <v>Public</v>
      </c>
      <c r="J26" s="312" t="str">
        <f>VLOOKUP(Tableau9[[#This Row],[Colonne1]],Tableau124[#All],9,FALSE)</f>
        <v>secretariat.psychiatrie@ch-semur.fr</v>
      </c>
      <c r="K26" s="242" t="str">
        <f>VLOOKUP(Tableau9[[#This Row],[Colonne1]],Tableau124[#All],10,FALSE)</f>
        <v>03.80.89.64.72</v>
      </c>
      <c r="L26" s="311" t="str">
        <f>VLOOKUP(Tableau9[[#This Row],[Colonne1]],Tableau124[#All],11,FALSE)</f>
        <v>www.ch-semur.fr</v>
      </c>
      <c r="M26" s="129" t="str">
        <f>VLOOKUP(Tableau9[[#This Row],[Colonne1]],Tableau124[#All],12,FALSE)</f>
        <v>Tous les vendredis (sur RDV)</v>
      </c>
      <c r="N26" s="130" t="str">
        <f>VLOOKUP(Tableau9[[#This Row],[Colonne1]],Tableau124[#All],13,FALSE)</f>
        <v>Intervention auprès de public majeurs et mineurs, ainsi qu'au Centre Hospitalier Robert Morlevat</v>
      </c>
    </row>
    <row r="27" spans="2:14" ht="86.45" customHeight="1">
      <c r="B27" s="164">
        <v>42</v>
      </c>
      <c r="C27" s="213" t="str">
        <f>VLOOKUP(Tableau9[[#This Row],[Colonne1]],Tableau124[#All],2,FALSE)</f>
        <v>Côte-d’Or (21)</v>
      </c>
      <c r="D27" s="111" t="str">
        <f>VLOOKUP(Tableau9[[#This Row],[Colonne1]],Tableau124[#All],3,FALSE)</f>
        <v>Semur-En-Auxois</v>
      </c>
      <c r="E27" s="111">
        <f>VLOOKUP(Tableau9[[#This Row],[Colonne1]],Tableau124[#All],4,FALSE)</f>
        <v>21140</v>
      </c>
      <c r="F27" s="213" t="str">
        <f>VLOOKUP(Tableau9[[#This Row],[Colonne1]],Tableau124[#All],5,FALSE)</f>
        <v>3 Av. Pasteur</v>
      </c>
      <c r="G27" s="213" t="str">
        <f>VLOOKUP(Tableau9[[#This Row],[Colonne1]],Tableau124[#All],6,FALSE)</f>
        <v>Consultations Hospitalières externes d'addictologie (autre lieu d'intervention)</v>
      </c>
      <c r="H27" s="111" t="str">
        <f>VLOOKUP(Tableau9[[#This Row],[Colonne1]],Tableau124[#All],7,FALSE)</f>
        <v xml:space="preserve">Centre Hospitalier - CHA (Centre Hospitalier Robert Morlevat) </v>
      </c>
      <c r="I27" s="111" t="str">
        <f>VLOOKUP(Tableau9[[#This Row],[Colonne1]],Tableau124[#All],8,FALSE)</f>
        <v>Public</v>
      </c>
      <c r="J27" s="312" t="str">
        <f>VLOOKUP(Tableau9[[#This Row],[Colonne1]],Tableau124[#All],9,FALSE)</f>
        <v>secretariat.psychiatrie@ch-semur.fr</v>
      </c>
      <c r="K27" s="239" t="str">
        <f>VLOOKUP(Tableau9[[#This Row],[Colonne1]],Tableau124[#All],10,FALSE)</f>
        <v>03.80.89.64.72</v>
      </c>
      <c r="L27" s="311" t="str">
        <f>VLOOKUP(Tableau9[[#This Row],[Colonne1]],Tableau124[#All],11,FALSE)</f>
        <v>www.ch-semur.fr</v>
      </c>
      <c r="M27" s="129" t="str">
        <f>VLOOKUP(Tableau9[[#This Row],[Colonne1]],Tableau124[#All],12,FALSE)</f>
        <v xml:space="preserve"> Dr WALLENHORST sur rdv le mardi matin et et le jeudi matin, Dr CORNET, sur rdv le mardi après-midi et le jeudi après-midi </v>
      </c>
      <c r="N27" s="130" t="str">
        <f>VLOOKUP(Tableau9[[#This Row],[Colonne1]],Tableau124[#All],13,FALSE)</f>
        <v>Intervention auprès de public majeurs et mineurs</v>
      </c>
    </row>
    <row r="28" spans="2:14" ht="86.45" customHeight="1">
      <c r="B28" s="164">
        <v>43</v>
      </c>
      <c r="C28" s="126" t="str">
        <f>VLOOKUP(Tableau9[[#This Row],[Colonne1]],Tableau124[#All],2,FALSE)</f>
        <v>Côte-d’Or (21)</v>
      </c>
      <c r="D28" s="126" t="str">
        <f>VLOOKUP(Tableau9[[#This Row],[Colonne1]],Tableau124[#All],3,FALSE)</f>
        <v>Semur-En-Auxois</v>
      </c>
      <c r="E28" s="126" t="str">
        <f>VLOOKUP(Tableau9[[#This Row],[Colonne1]],Tableau124[#All],4,FALSE)</f>
        <v>21140</v>
      </c>
      <c r="F28" s="128" t="str">
        <f>VLOOKUP(Tableau9[[#This Row],[Colonne1]],Tableau124[#All],5,FALSE)</f>
        <v>Centre Hospitalier Robert Morlevat, 3 avenue Pasteur</v>
      </c>
      <c r="G28" s="128" t="str">
        <f>VLOOKUP(Tableau9[[#This Row],[Colonne1]],Tableau124[#All],6,FALSE)</f>
        <v>ELSA</v>
      </c>
      <c r="H28" s="126" t="str">
        <f>VLOOKUP(Tableau9[[#This Row],[Colonne1]],Tableau124[#All],7,FALSE)</f>
        <v>Centre Hospitalier Robert Morlevat</v>
      </c>
      <c r="I28" s="126" t="str">
        <f>VLOOKUP(Tableau9[[#This Row],[Colonne1]],Tableau124[#All],8,FALSE)</f>
        <v>Public</v>
      </c>
      <c r="J28" s="328" t="str">
        <f>VLOOKUP(Tableau9[[#This Row],[Colonne1]],Tableau124[#All],9,FALSE)</f>
        <v>secretariat.psychiatrie@ch-semur.fr</v>
      </c>
      <c r="K28" s="373" t="str">
        <f>VLOOKUP(Tableau9[[#This Row],[Colonne1]],Tableau124[#All],10,FALSE)</f>
        <v>03.80.89.64.72</v>
      </c>
      <c r="L28" s="328" t="str">
        <f>VLOOKUP(Tableau9[[#This Row],[Colonne1]],Tableau124[#All],11,FALSE)</f>
        <v>www.ch-semur.fr</v>
      </c>
      <c r="M28" s="258" t="str">
        <f>VLOOKUP(Tableau9[[#This Row],[Colonne1]],Tableau124[#All],12,FALSE)</f>
        <v xml:space="preserve">  </v>
      </c>
      <c r="N28" s="274" t="str">
        <f>VLOOKUP(Tableau9[[#This Row],[Colonne1]],Tableau124[#All],13,FALSE)</f>
        <v>- intervention auprès de public majeur ; 
- interventions dans tous les services de MCO et psychiatrie de l'hôpital de SEMUR,  EHPAD</v>
      </c>
    </row>
    <row r="29" spans="2:14" ht="86.45" customHeight="1">
      <c r="B29" s="164">
        <v>44</v>
      </c>
      <c r="C29" s="96" t="str">
        <f>VLOOKUP(Tableau9[[#This Row],[Colonne1]],Tableau124[#All],2,FALSE)</f>
        <v>Côte-d’Or (21)</v>
      </c>
      <c r="D29" s="96" t="str">
        <f>VLOOKUP(Tableau9[[#This Row],[Colonne1]],Tableau124[#All],3,FALSE)</f>
        <v>Semur-En-Auxois</v>
      </c>
      <c r="E29" s="96" t="str">
        <f>VLOOKUP(Tableau9[[#This Row],[Colonne1]],Tableau124[#All],4,FALSE)</f>
        <v>21140</v>
      </c>
      <c r="F29" s="96" t="str">
        <f>VLOOKUP(Tableau9[[#This Row],[Colonne1]],Tableau124[#All],5,FALSE)</f>
        <v>Centre Hospitalier Robert Morlevat
Service Escale
3 avenue pasteur</v>
      </c>
      <c r="G29" s="96" t="str">
        <f>VLOOKUP(Tableau9[[#This Row],[Colonne1]],Tableau124[#All],6,FALSE)</f>
        <v>Sevrage simple</v>
      </c>
      <c r="H29" s="96" t="str">
        <f>VLOOKUP(Tableau9[[#This Row],[Colonne1]],Tableau124[#All],7,FALSE)</f>
        <v>Centre Hospitalier Robert Morlevat</v>
      </c>
      <c r="I29" s="96" t="str">
        <f>VLOOKUP(Tableau9[[#This Row],[Colonne1]],Tableau124[#All],8,FALSE)</f>
        <v>Public</v>
      </c>
      <c r="J29" s="333" t="str">
        <f>VLOOKUP(Tableau9[[#This Row],[Colonne1]],Tableau124[#All],9,FALSE)</f>
        <v>secretariat.psychiatrie@ch-semur.fr</v>
      </c>
      <c r="K29" s="372" t="str">
        <f>VLOOKUP(Tableau9[[#This Row],[Colonne1]],Tableau124[#All],10,FALSE)</f>
        <v>03.80.89.64.72</v>
      </c>
      <c r="L29" s="333" t="str">
        <f>VLOOKUP(Tableau9[[#This Row],[Colonne1]],Tableau124[#All],11,FALSE)</f>
        <v>www.ch-semur.fr</v>
      </c>
      <c r="M29" s="382" t="str">
        <f>VLOOKUP(Tableau9[[#This Row],[Colonne1]],Tableau124[#All],12,FALSE)</f>
        <v xml:space="preserve">  </v>
      </c>
      <c r="N29" s="275" t="str">
        <f>VLOOKUP(Tableau9[[#This Row],[Colonne1]],Tableau124[#All],13,FALSE)</f>
        <v>- interventions auprès d'un public majeur ; 
- lits installés au sein d'une même unité ; 
- service escale</v>
      </c>
    </row>
    <row r="30" spans="2:14" ht="86.45" customHeight="1">
      <c r="B30" s="164">
        <v>45</v>
      </c>
      <c r="C30" s="214" t="str">
        <f>VLOOKUP(Tableau9[[#This Row],[Colonne1]],Tableau124[#All],2,FALSE)</f>
        <v>Côte-d’Or (21)</v>
      </c>
      <c r="D30" s="214" t="str">
        <f>VLOOKUP(Tableau9[[#This Row],[Colonne1]],Tableau124[#All],3,FALSE)</f>
        <v>Semur-En-Auxois</v>
      </c>
      <c r="E30" s="214" t="str">
        <f>VLOOKUP(Tableau9[[#This Row],[Colonne1]],Tableau124[#All],4,FALSE)</f>
        <v>21140</v>
      </c>
      <c r="F30" s="214" t="str">
        <f>VLOOKUP(Tableau9[[#This Row],[Colonne1]],Tableau124[#All],5,FALSE)</f>
        <v xml:space="preserve">Centre Hospitalier Robert Morlevat 
Service Addictologie
3 avenue Pasteur </v>
      </c>
      <c r="G30" s="215" t="str">
        <f>VLOOKUP(Tableau9[[#This Row],[Colonne1]],Tableau124[#All],6,FALSE)</f>
        <v>Unité d'hospitalisation de jour</v>
      </c>
      <c r="H30" s="214" t="str">
        <f>VLOOKUP(Tableau9[[#This Row],[Colonne1]],Tableau124[#All],7,FALSE)</f>
        <v>Centre Hospitalier Robert Morlevat</v>
      </c>
      <c r="I30" s="214" t="str">
        <f>VLOOKUP(Tableau9[[#This Row],[Colonne1]],Tableau124[#All],8,FALSE)</f>
        <v>Public</v>
      </c>
      <c r="J30" s="355" t="str">
        <f>VLOOKUP(Tableau9[[#This Row],[Colonne1]],Tableau124[#All],9,FALSE)</f>
        <v>secretariat.psychiatrie@ch-semur.fr</v>
      </c>
      <c r="K30" s="376" t="str">
        <f>VLOOKUP(Tableau9[[#This Row],[Colonne1]],Tableau124[#All],10,FALSE)</f>
        <v xml:space="preserve"> 03.80.89.64.72</v>
      </c>
      <c r="L30" s="355" t="str">
        <f>VLOOKUP(Tableau9[[#This Row],[Colonne1]],Tableau124[#All],11,FALSE)</f>
        <v xml:space="preserve">www.ch-semur.fr </v>
      </c>
      <c r="M30" s="214" t="str">
        <f>VLOOKUP(Tableau9[[#This Row],[Colonne1]],Tableau124[#All],12,FALSE)</f>
        <v>Du lundi au vendredi, prise en charge en demi-journée</v>
      </c>
      <c r="N30" s="281" t="str">
        <f>VLOOKUP(Tableau9[[#This Row],[Colonne1]],Tableau124[#All],13,FALSE)</f>
        <v>- intervention auprès d'un public majeur</v>
      </c>
    </row>
    <row r="31" spans="2:14" ht="86.45" customHeight="1">
      <c r="B31" s="164">
        <v>24</v>
      </c>
      <c r="C31" s="96" t="str">
        <f>VLOOKUP(Tableau9[[#This Row],[Colonne1]],Tableau124[#All],2,FALSE)</f>
        <v>Côte-d’Or (21)</v>
      </c>
      <c r="D31" s="96" t="str">
        <f>VLOOKUP(Tableau9[[#This Row],[Colonne1]],Tableau124[#All],3,FALSE)</f>
        <v>Dijon</v>
      </c>
      <c r="E31" s="96" t="str">
        <f>VLOOKUP(Tableau9[[#This Row],[Colonne1]],Tableau124[#All],4,FALSE)</f>
        <v>21000</v>
      </c>
      <c r="F31" s="96" t="str">
        <f>VLOOKUP(Tableau9[[#This Row],[Colonne1]],Tableau124[#All],5,FALSE)</f>
        <v>1 BVD Chamoine Kir</v>
      </c>
      <c r="G31" s="96" t="str">
        <f>VLOOKUP(Tableau9[[#This Row],[Colonne1]],Tableau124[#All],6,FALSE)</f>
        <v>Sevrage simple</v>
      </c>
      <c r="H31" s="96" t="str">
        <f>VLOOKUP(Tableau9[[#This Row],[Colonne1]],Tableau124[#All],7,FALSE)</f>
        <v>CH La Chartreuse</v>
      </c>
      <c r="I31" s="96" t="str">
        <f>VLOOKUP(Tableau9[[#This Row],[Colonne1]],Tableau124[#All],8,FALSE)</f>
        <v>Public</v>
      </c>
      <c r="J31" s="333" t="str">
        <f>VLOOKUP(Tableau9[[#This Row],[Colonne1]],Tableau124[#All],9,FALSE)</f>
        <v>Eole@chlcdijon.fr</v>
      </c>
      <c r="K31" s="372" t="str">
        <f>VLOOKUP(Tableau9[[#This Row],[Colonne1]],Tableau124[#All],10,FALSE)</f>
        <v>0380424949</v>
      </c>
      <c r="L31" s="333" t="str">
        <f>VLOOKUP(Tableau9[[#This Row],[Colonne1]],Tableau124[#All],11,FALSE)</f>
        <v>www.ch-lachartreuse-dijon-cotedor.fr</v>
      </c>
      <c r="M31" s="258" t="str">
        <f>VLOOKUP(Tableau9[[#This Row],[Colonne1]],Tableau124[#All],12,FALSE)</f>
        <v xml:space="preserve">  </v>
      </c>
      <c r="N31" s="275" t="str">
        <f>VLOOKUP(Tableau9[[#This Row],[Colonne1]],Tableau124[#All],13,FALSE)</f>
        <v>- interventions auprès d'un public majeur ; 
- lits installés au sein d'une même unité ; 
- une unité EOLE (2 lits sevrage simple et 16 lits sevrage complexe).</v>
      </c>
    </row>
    <row r="32" spans="2:14" ht="86.45" customHeight="1">
      <c r="B32" s="164">
        <v>27</v>
      </c>
      <c r="C32" s="125" t="str">
        <f>VLOOKUP(Tableau9[[#This Row],[Colonne1]],Tableau124[#All],2,FALSE)</f>
        <v>Côte-d’Or (21)</v>
      </c>
      <c r="D32" s="125" t="str">
        <f>VLOOKUP(Tableau9[[#This Row],[Colonne1]],Tableau124[#All],3,FALSE)</f>
        <v>Dijon</v>
      </c>
      <c r="E32" s="125" t="str">
        <f>VLOOKUP(Tableau9[[#This Row],[Colonne1]],Tableau124[#All],4,FALSE)</f>
        <v>21000</v>
      </c>
      <c r="F32" s="125" t="str">
        <f>VLOOKUP(Tableau9[[#This Row],[Colonne1]],Tableau124[#All],5,FALSE)</f>
        <v>BVD Chamoine Kir</v>
      </c>
      <c r="G32" s="124" t="str">
        <f>VLOOKUP(Tableau9[[#This Row],[Colonne1]],Tableau124[#All],6,FALSE)</f>
        <v>Soins complexes</v>
      </c>
      <c r="H32" s="125" t="str">
        <f>VLOOKUP(Tableau9[[#This Row],[Colonne1]],Tableau124[#All],7,FALSE)</f>
        <v>CH La Chartreuse</v>
      </c>
      <c r="I32" s="125" t="str">
        <f>VLOOKUP(Tableau9[[#This Row],[Colonne1]],Tableau124[#All],8,FALSE)</f>
        <v>Public</v>
      </c>
      <c r="J32" s="345" t="str">
        <f>VLOOKUP(Tableau9[[#This Row],[Colonne1]],Tableau124[#All],9,FALSE)</f>
        <v>Eole@chlcdijon.fr</v>
      </c>
      <c r="K32" s="375" t="str">
        <f>VLOOKUP(Tableau9[[#This Row],[Colonne1]],Tableau124[#All],10,FALSE)</f>
        <v>0380424949</v>
      </c>
      <c r="L32" s="345" t="str">
        <f>VLOOKUP(Tableau9[[#This Row],[Colonne1]],Tableau124[#All],11,FALSE)</f>
        <v>www.ch-lachartreuse-dijon-cotedor.fr</v>
      </c>
      <c r="M32" s="258" t="str">
        <f>VLOOKUP(Tableau9[[#This Row],[Colonne1]],Tableau124[#All],12,FALSE)</f>
        <v xml:space="preserve">  </v>
      </c>
      <c r="N32" s="280" t="str">
        <f>VLOOKUP(Tableau9[[#This Row],[Colonne1]],Tableau124[#All],13,FALSE)</f>
        <v xml:space="preserve">- intervention auprès de public majeur ; 
- accueille également des patients pour des sevrages simples </v>
      </c>
    </row>
    <row r="33" spans="2:14" ht="86.45" customHeight="1">
      <c r="B33" s="164">
        <v>23</v>
      </c>
      <c r="C33" s="126" t="str">
        <f>VLOOKUP(Tableau9[[#This Row],[Colonne1]],Tableau124[#All],2,FALSE)</f>
        <v>Côte-d’Or (21)</v>
      </c>
      <c r="D33" s="126" t="str">
        <f>VLOOKUP(Tableau9[[#This Row],[Colonne1]],Tableau124[#All],3,FALSE)</f>
        <v>Dijon</v>
      </c>
      <c r="E33" s="126" t="str">
        <f>VLOOKUP(Tableau9[[#This Row],[Colonne1]],Tableau124[#All],4,FALSE)</f>
        <v>21000</v>
      </c>
      <c r="F33" s="126" t="str">
        <f>VLOOKUP(Tableau9[[#This Row],[Colonne1]],Tableau124[#All],5,FALSE)</f>
        <v>CHU Dijon, 14 rue Paul Gaffarel</v>
      </c>
      <c r="G33" s="128" t="str">
        <f>VLOOKUP(Tableau9[[#This Row],[Colonne1]],Tableau124[#All],6,FALSE)</f>
        <v>ELSA</v>
      </c>
      <c r="H33" s="126" t="str">
        <f>VLOOKUP(Tableau9[[#This Row],[Colonne1]],Tableau124[#All],7,FALSE)</f>
        <v>CHU Dijon</v>
      </c>
      <c r="I33" s="126" t="str">
        <f>VLOOKUP(Tableau9[[#This Row],[Colonne1]],Tableau124[#All],8,FALSE)</f>
        <v>Public</v>
      </c>
      <c r="J33" s="328" t="str">
        <f>VLOOKUP(Tableau9[[#This Row],[Colonne1]],Tableau124[#All],9,FALSE)</f>
        <v>addictologie@chu-dijon.fr</v>
      </c>
      <c r="K33" s="373" t="str">
        <f>VLOOKUP(Tableau9[[#This Row],[Colonne1]],Tableau124[#All],10,FALSE)</f>
        <v>0380293524</v>
      </c>
      <c r="L33" s="328" t="str">
        <f>VLOOKUP(Tableau9[[#This Row],[Colonne1]],Tableau124[#All],11,FALSE)</f>
        <v>https://www.chu-dijon.fr/</v>
      </c>
      <c r="M33" s="258" t="str">
        <f>VLOOKUP(Tableau9[[#This Row],[Colonne1]],Tableau124[#All],12,FALSE)</f>
        <v xml:space="preserve">  </v>
      </c>
      <c r="N33" s="274" t="str">
        <f>VLOOKUP(Tableau9[[#This Row],[Colonne1]],Tableau124[#All],13,FALSE)</f>
        <v>- intervention auprès de public majeur ; 
- L'ELSA intervient dans l'ensemble des services hospitaliers du CHU de Dijon</v>
      </c>
    </row>
    <row r="34" spans="2:14" ht="86.45" customHeight="1">
      <c r="B34" s="164">
        <v>19</v>
      </c>
      <c r="C34" s="111" t="str">
        <f>VLOOKUP(Tableau9[[#This Row],[Colonne1]],Tableau124[#All],2,FALSE)</f>
        <v>Côte-d’Or (21)</v>
      </c>
      <c r="D34" s="111" t="str">
        <f>VLOOKUP(Tableau9[[#This Row],[Colonne1]],Tableau124[#All],3,FALSE)</f>
        <v>Dijon</v>
      </c>
      <c r="E34" s="111" t="str">
        <f>VLOOKUP(Tableau9[[#This Row],[Colonne1]],Tableau124[#All],4,FALSE)</f>
        <v>21000</v>
      </c>
      <c r="F34" s="111" t="str">
        <f>VLOOKUP(Tableau9[[#This Row],[Colonne1]],Tableau124[#All],5,FALSE)</f>
        <v>Hôpital François Mitterrand
CHU de Dijon
Bâtiment Marion (entrée N°5)
14 Rue Paul Gaffarel</v>
      </c>
      <c r="G34" s="111" t="str">
        <f>VLOOKUP(Tableau9[[#This Row],[Colonne1]],Tableau124[#All],6,FALSE)</f>
        <v>Consultations Hospitalières externes d'addictologie</v>
      </c>
      <c r="H34" s="111" t="str">
        <f>VLOOKUP(Tableau9[[#This Row],[Colonne1]],Tableau124[#All],7,FALSE)</f>
        <v>CHU Dijon</v>
      </c>
      <c r="I34" s="111" t="str">
        <f>VLOOKUP(Tableau9[[#This Row],[Colonne1]],Tableau124[#All],8,FALSE)</f>
        <v>Public</v>
      </c>
      <c r="J34" s="311" t="str">
        <f>VLOOKUP(Tableau9[[#This Row],[Colonne1]],Tableau124[#All],9,FALSE)</f>
        <v>addictologie@chu-dijon.fr</v>
      </c>
      <c r="K34" s="239" t="str">
        <f>VLOOKUP(Tableau9[[#This Row],[Colonne1]],Tableau124[#All],10,FALSE)</f>
        <v>03.80.29.35.24</v>
      </c>
      <c r="L34" s="311" t="str">
        <f>VLOOKUP(Tableau9[[#This Row],[Colonne1]],Tableau124[#All],11,FALSE)</f>
        <v>https://www.chu-dijon.fr/</v>
      </c>
      <c r="M34" s="129" t="str">
        <f>VLOOKUP(Tableau9[[#This Row],[Colonne1]],Tableau124[#All],12,FALSE)</f>
        <v>Lundi-Vendredi, 9h-17h</v>
      </c>
      <c r="N34" s="130" t="str">
        <f>VLOOKUP(Tableau9[[#This Row],[Colonne1]],Tableau124[#All],13,FALSE)</f>
        <v xml:space="preserve">Intervention auprès de public majeurs </v>
      </c>
    </row>
    <row r="35" spans="2:14" ht="86.45" customHeight="1">
      <c r="B35" s="164">
        <v>25</v>
      </c>
      <c r="C35" s="96" t="str">
        <f>VLOOKUP(Tableau9[[#This Row],[Colonne1]],Tableau124[#All],2,FALSE)</f>
        <v>Côte-d’Or (21)</v>
      </c>
      <c r="D35" s="96" t="str">
        <f>VLOOKUP(Tableau9[[#This Row],[Colonne1]],Tableau124[#All],3,FALSE)</f>
        <v>Dijon</v>
      </c>
      <c r="E35" s="96" t="str">
        <f>VLOOKUP(Tableau9[[#This Row],[Colonne1]],Tableau124[#All],4,FALSE)</f>
        <v>21000</v>
      </c>
      <c r="F35" s="96" t="str">
        <f>VLOOKUP(Tableau9[[#This Row],[Colonne1]],Tableau124[#All],5,FALSE)</f>
        <v>Hôpital François Mitterrand
CHU de Dijon
Bâtiment Marion (entrée N°5)
14 Rue Paul Gaffarel</v>
      </c>
      <c r="G35" s="96" t="str">
        <f>VLOOKUP(Tableau9[[#This Row],[Colonne1]],Tableau124[#All],6,FALSE)</f>
        <v>Sevrage simple</v>
      </c>
      <c r="H35" s="96" t="str">
        <f>VLOOKUP(Tableau9[[#This Row],[Colonne1]],Tableau124[#All],7,FALSE)</f>
        <v>CHU Dijon</v>
      </c>
      <c r="I35" s="96" t="str">
        <f>VLOOKUP(Tableau9[[#This Row],[Colonne1]],Tableau124[#All],8,FALSE)</f>
        <v>Public</v>
      </c>
      <c r="J35" s="333" t="str">
        <f>VLOOKUP(Tableau9[[#This Row],[Colonne1]],Tableau124[#All],9,FALSE)</f>
        <v>addictologie@chu-dijon.fr</v>
      </c>
      <c r="K35" s="372" t="str">
        <f>VLOOKUP(Tableau9[[#This Row],[Colonne1]],Tableau124[#All],10,FALSE)</f>
        <v>03.80.28.15.28</v>
      </c>
      <c r="L35" s="333" t="str">
        <f>VLOOKUP(Tableau9[[#This Row],[Colonne1]],Tableau124[#All],11,FALSE)</f>
        <v>https://www.chu-dijon.fr/</v>
      </c>
      <c r="M35" s="258" t="str">
        <f>VLOOKUP(Tableau9[[#This Row],[Colonne1]],Tableau124[#All],12,FALSE)</f>
        <v xml:space="preserve">  </v>
      </c>
      <c r="N35" s="275" t="str">
        <f>VLOOKUP(Tableau9[[#This Row],[Colonne1]],Tableau124[#All],13,FALSE)</f>
        <v>- interventions auprès d'un public majeur ; 
- lits installés au sein d'une même unité ; 
- unité de service hospitalo-universitaire d'addictologie</v>
      </c>
    </row>
    <row r="36" spans="2:14" ht="86.45" customHeight="1">
      <c r="B36" s="164">
        <v>28</v>
      </c>
      <c r="C36" s="125" t="str">
        <f>VLOOKUP(Tableau9[[#This Row],[Colonne1]],Tableau124[#All],2,FALSE)</f>
        <v>Côte-d’Or (21)</v>
      </c>
      <c r="D36" s="125" t="str">
        <f>VLOOKUP(Tableau9[[#This Row],[Colonne1]],Tableau124[#All],3,FALSE)</f>
        <v>Dijon</v>
      </c>
      <c r="E36" s="125" t="str">
        <f>VLOOKUP(Tableau9[[#This Row],[Colonne1]],Tableau124[#All],4,FALSE)</f>
        <v>21000</v>
      </c>
      <c r="F36" s="125" t="str">
        <f>VLOOKUP(Tableau9[[#This Row],[Colonne1]],Tableau124[#All],5,FALSE)</f>
        <v>Hôpital François Mitterrand
CHU de Dijon
Bâtiment Marion (entrée N°5)
14 Rue Paul Gaffarel</v>
      </c>
      <c r="G36" s="124" t="str">
        <f>VLOOKUP(Tableau9[[#This Row],[Colonne1]],Tableau124[#All],6,FALSE)</f>
        <v>Soins complexes</v>
      </c>
      <c r="H36" s="125" t="str">
        <f>VLOOKUP(Tableau9[[#This Row],[Colonne1]],Tableau124[#All],7,FALSE)</f>
        <v>CHU Dijon</v>
      </c>
      <c r="I36" s="125" t="str">
        <f>VLOOKUP(Tableau9[[#This Row],[Colonne1]],Tableau124[#All],8,FALSE)</f>
        <v>Public</v>
      </c>
      <c r="J36" s="345" t="str">
        <f>VLOOKUP(Tableau9[[#This Row],[Colonne1]],Tableau124[#All],9,FALSE)</f>
        <v>addictologie@chu-dijon.fr</v>
      </c>
      <c r="K36" s="375" t="str">
        <f>VLOOKUP(Tableau9[[#This Row],[Colonne1]],Tableau124[#All],10,FALSE)</f>
        <v>03.80.28.15.28</v>
      </c>
      <c r="L36" s="345" t="str">
        <f>VLOOKUP(Tableau9[[#This Row],[Colonne1]],Tableau124[#All],11,FALSE)</f>
        <v>https://www.chu-dijon.fr/</v>
      </c>
      <c r="M36" s="258" t="str">
        <f>VLOOKUP(Tableau9[[#This Row],[Colonne1]],Tableau124[#All],12,FALSE)</f>
        <v xml:space="preserve">  </v>
      </c>
      <c r="N36" s="280" t="str">
        <f>VLOOKUP(Tableau9[[#This Row],[Colonne1]],Tableau124[#All],13,FALSE)</f>
        <v xml:space="preserve">- intervention auprès de public majeur ; 
- accueille également des patients pour des sevrages simples </v>
      </c>
    </row>
    <row r="37" spans="2:14" ht="86.45" customHeight="1">
      <c r="B37" s="164">
        <v>29</v>
      </c>
      <c r="C37" s="214" t="str">
        <f>VLOOKUP(Tableau9[[#This Row],[Colonne1]],Tableau124[#All],2,FALSE)</f>
        <v>Côte-d’Or (21)</v>
      </c>
      <c r="D37" s="214" t="str">
        <f>VLOOKUP(Tableau9[[#This Row],[Colonne1]],Tableau124[#All],3,FALSE)</f>
        <v>Dijon</v>
      </c>
      <c r="E37" s="214" t="str">
        <f>VLOOKUP(Tableau9[[#This Row],[Colonne1]],Tableau124[#All],4,FALSE)</f>
        <v>21000</v>
      </c>
      <c r="F37" s="214" t="str">
        <f>VLOOKUP(Tableau9[[#This Row],[Colonne1]],Tableau124[#All],5,FALSE)</f>
        <v>Hôpital François Mitterrand
CHU de Dijon
Bâtiment Marion (entrée N°5)
14 Rue Paul Gaffarel</v>
      </c>
      <c r="G37" s="215" t="str">
        <f>VLOOKUP(Tableau9[[#This Row],[Colonne1]],Tableau124[#All],6,FALSE)</f>
        <v>Unité d'hospitalisation de jour</v>
      </c>
      <c r="H37" s="214" t="str">
        <f>VLOOKUP(Tableau9[[#This Row],[Colonne1]],Tableau124[#All],7,FALSE)</f>
        <v>CHU Dijon</v>
      </c>
      <c r="I37" s="214" t="str">
        <f>VLOOKUP(Tableau9[[#This Row],[Colonne1]],Tableau124[#All],8,FALSE)</f>
        <v>Public</v>
      </c>
      <c r="J37" s="588" t="str">
        <f>VLOOKUP(Tableau9[[#This Row],[Colonne1]],Tableau124[#All],9,FALSE)</f>
        <v>addictologie@chu-dijon.fr</v>
      </c>
      <c r="K37" s="376" t="str">
        <f>VLOOKUP(Tableau9[[#This Row],[Colonne1]],Tableau124[#All],10,FALSE)</f>
        <v>0380295437</v>
      </c>
      <c r="L37" s="355" t="str">
        <f>VLOOKUP(Tableau9[[#This Row],[Colonne1]],Tableau124[#All],11,FALSE)</f>
        <v>https://www.chu-dijon.fr/</v>
      </c>
      <c r="M37" s="214" t="str">
        <f>VLOOKUP(Tableau9[[#This Row],[Colonne1]],Tableau124[#All],12,FALSE)</f>
        <v>Lundi-vendredi, 9h-16h</v>
      </c>
      <c r="N37" s="281" t="str">
        <f>VLOOKUP(Tableau9[[#This Row],[Colonne1]],Tableau124[#All],13,FALSE)</f>
        <v>- intervention auprès d'un public majeur</v>
      </c>
    </row>
    <row r="38" spans="2:14" ht="86.45" customHeight="1">
      <c r="B38" s="164">
        <v>20</v>
      </c>
      <c r="C38" s="156" t="str">
        <f>VLOOKUP(Tableau9[[#This Row],[Colonne1]],Tableau124[#All],2,FALSE)</f>
        <v>Côte-d’Or (21)</v>
      </c>
      <c r="D38" s="156" t="str">
        <f>VLOOKUP(Tableau9[[#This Row],[Colonne1]],Tableau124[#All],3,FALSE)</f>
        <v>Dijon</v>
      </c>
      <c r="E38" s="156" t="str">
        <f>VLOOKUP(Tableau9[[#This Row],[Colonne1]],Tableau124[#All],4,FALSE)</f>
        <v>21000</v>
      </c>
      <c r="F38" s="101" t="str">
        <f>VLOOKUP(Tableau9[[#This Row],[Colonne1]],Tableau124[#All],5,FALSE)</f>
        <v xml:space="preserve">1 rue Jules Toutain </v>
      </c>
      <c r="G38" s="156" t="str">
        <f>VLOOKUP(Tableau9[[#This Row],[Colonne1]],Tableau124[#All],6,FALSE)</f>
        <v>CSAPA</v>
      </c>
      <c r="H38" s="101" t="str">
        <f>VLOOKUP(Tableau9[[#This Row],[Colonne1]],Tableau124[#All],7,FALSE)</f>
        <v>CSAPA La Santoline, SEDAP</v>
      </c>
      <c r="I38" s="156" t="str">
        <f>VLOOKUP(Tableau9[[#This Row],[Colonne1]],Tableau124[#All],8,FALSE)</f>
        <v>Associatif</v>
      </c>
      <c r="J38" s="318" t="str">
        <f>VLOOKUP(Tableau9[[#This Row],[Colonne1]],Tableau124[#All],9,FALSE)</f>
        <v>santoline@addictions-sedap.fr</v>
      </c>
      <c r="K38" s="238" t="str">
        <f>VLOOKUP(Tableau9[[#This Row],[Colonne1]],Tableau124[#All],10,FALSE)</f>
        <v>03 80 65 20 47</v>
      </c>
      <c r="L38" s="318" t="str">
        <f>VLOOKUP(Tableau9[[#This Row],[Colonne1]],Tableau124[#All],11,FALSE)</f>
        <v>www.addictions-sedap.fr</v>
      </c>
      <c r="M38" s="101" t="str">
        <f>VLOOKUP(Tableau9[[#This Row],[Colonne1]],Tableau124[#All],12,FALSE)</f>
        <v>Ouvert 330 jours par an</v>
      </c>
      <c r="N38" s="287" t="str">
        <f>VLOOKUP(Tableau9[[#This Row],[Colonne1]],Tableau124[#All],13,FALSE)</f>
        <v>CSAPA avec hébergement accueillant des personnes majeures, des couples. Dispositif pour femmes enceintes, parents isolés avec enfants. Accueil en aménagement de peine (placement extérieur). Dispositif d'appartements thérapeutiques.</v>
      </c>
    </row>
    <row r="39" spans="2:14" ht="86.45" customHeight="1">
      <c r="B39" s="164">
        <v>30</v>
      </c>
      <c r="C39" s="156" t="str">
        <f>VLOOKUP(Tableau9[[#This Row],[Colonne1]],Tableau124[#All],2,FALSE)</f>
        <v>Côte-d’Or (21)</v>
      </c>
      <c r="D39" s="156" t="str">
        <f>VLOOKUP(Tableau9[[#This Row],[Colonne1]],Tableau124[#All],3,FALSE)</f>
        <v>Dijon</v>
      </c>
      <c r="E39" s="156">
        <f>VLOOKUP(Tableau9[[#This Row],[Colonne1]],Tableau124[#All],4,FALSE)</f>
        <v>21000</v>
      </c>
      <c r="F39" s="156" t="str">
        <f>VLOOKUP(Tableau9[[#This Row],[Colonne1]],Tableau124[#All],5,FALSE)</f>
        <v>Maison d'Arrêt de Dijon
72 bis rue d'Auxonne</v>
      </c>
      <c r="G39" s="156" t="str">
        <f>VLOOKUP(Tableau9[[#This Row],[Colonne1]],Tableau124[#All],6,FALSE)</f>
        <v xml:space="preserve">CSAPA </v>
      </c>
      <c r="H39" s="156" t="str">
        <f>VLOOKUP(Tableau9[[#This Row],[Colonne1]],Tableau124[#All],7,FALSE)</f>
        <v>CSAPA Le Bélem CH La Chartreuse</v>
      </c>
      <c r="I39" s="156" t="str">
        <f>VLOOKUP(Tableau9[[#This Row],[Colonne1]],Tableau124[#All],8,FALSE)</f>
        <v>Public</v>
      </c>
      <c r="J39" s="318" t="str">
        <f>VLOOKUP(Tableau9[[#This Row],[Colonne1]],Tableau124[#All],9,FALSE)</f>
        <v xml:space="preserve">https://www.ch-lachartreuse-dijon-cotedor.fr/ </v>
      </c>
      <c r="K39" s="238" t="str">
        <f>VLOOKUP(Tableau9[[#This Row],[Colonne1]],Tableau124[#All],10,FALSE)</f>
        <v>03 80 67 08 33</v>
      </c>
      <c r="L39" s="318" t="str">
        <f>VLOOKUP(Tableau9[[#This Row],[Colonne1]],Tableau124[#All],11,FALSE)</f>
        <v>csapa@chlcdijon.fr</v>
      </c>
      <c r="M39" s="101" t="str">
        <f>VLOOKUP(Tableau9[[#This Row],[Colonne1]],Tableau124[#All],12,FALSE)</f>
        <v>Lundi au vendredi de 9H à 17h30</v>
      </c>
      <c r="N39" s="278" t="str">
        <f>VLOOKUP(Tableau9[[#This Row],[Colonne1]],Tableau124[#All],13,FALSE)</f>
        <v>CSAPA à vocation exclusivement pénitentiaire et sommes désignés par l'ARS comme CSAPA référent en milieu pénitentiaire</v>
      </c>
    </row>
    <row r="40" spans="2:14" ht="86.45" customHeight="1">
      <c r="B40" s="164">
        <v>21</v>
      </c>
      <c r="C40" s="156" t="str">
        <f>VLOOKUP(Tableau9[[#This Row],[Colonne1]],Tableau124[#All],2,FALSE)</f>
        <v>Côte-d’Or (21)</v>
      </c>
      <c r="D40" s="156" t="str">
        <f>VLOOKUP(Tableau9[[#This Row],[Colonne1]],Tableau124[#All],3,FALSE)</f>
        <v>Dijon</v>
      </c>
      <c r="E40" s="156" t="str">
        <f>VLOOKUP(Tableau9[[#This Row],[Colonne1]],Tableau124[#All],4,FALSE)</f>
        <v>21000</v>
      </c>
      <c r="F40" s="156" t="str">
        <f>VLOOKUP(Tableau9[[#This Row],[Colonne1]],Tableau124[#All],5,FALSE)</f>
        <v>7 RUE FEVRET</v>
      </c>
      <c r="G40" s="156" t="str">
        <f>VLOOKUP(Tableau9[[#This Row],[Colonne1]],Tableau124[#All],6,FALSE)</f>
        <v>CSAPA</v>
      </c>
      <c r="H40" s="156" t="str">
        <f>VLOOKUP(Tableau9[[#This Row],[Colonne1]],Tableau124[#All],7,FALSE)</f>
        <v>CSAPA Tivoli, Caarud le Spot - SEDAP</v>
      </c>
      <c r="I40" s="156" t="str">
        <f>VLOOKUP(Tableau9[[#This Row],[Colonne1]],Tableau124[#All],8,FALSE)</f>
        <v>Associatif</v>
      </c>
      <c r="J40" s="318" t="str">
        <f>VLOOKUP(Tableau9[[#This Row],[Colonne1]],Tableau124[#All],9,FALSE)</f>
        <v>tivoli@addictions-sedap.fr</v>
      </c>
      <c r="K40" s="238" t="str">
        <f>VLOOKUP(Tableau9[[#This Row],[Colonne1]],Tableau124[#All],10,FALSE)</f>
        <v>0811466280</v>
      </c>
      <c r="L40" s="318" t="str">
        <f>VLOOKUP(Tableau9[[#This Row],[Colonne1]],Tableau124[#All],11,FALSE)</f>
        <v>www.addictions-sedap.fr</v>
      </c>
      <c r="M40" s="101" t="str">
        <f>VLOOKUP(Tableau9[[#This Row],[Colonne1]],Tableau124[#All],12,FALSE)</f>
        <v>Tous les jours : 09h-12h - 14h-18h</v>
      </c>
      <c r="N40" s="278" t="str">
        <f>VLOOKUP(Tableau9[[#This Row],[Colonne1]],Tableau124[#All],13,FALSE)</f>
        <v xml:space="preserve">- réalisation de consultations avancées (Montbard) ;
- Dispositif de soin résidentiel sous forme de centre thérapeutique résidentiel sur Dijon (1 rue Toutain) ;
- Proposition de tests rapide d'orientation diagnostic (TROD) ;
- Dispositif anti-overdose ;
- Présence d'une CJC. </v>
      </c>
    </row>
    <row r="41" spans="2:14" ht="86.45" customHeight="1">
      <c r="B41" s="164">
        <v>4</v>
      </c>
      <c r="C41" s="156" t="str">
        <f>VLOOKUP(Tableau9[[#This Row],[Colonne1]],Tableau124[#All],2,FALSE)</f>
        <v>Côte-d’Or (21)</v>
      </c>
      <c r="D41" s="156" t="str">
        <f>VLOOKUP(Tableau9[[#This Row],[Colonne1]],Tableau124[#All],3,FALSE)</f>
        <v>Beaune</v>
      </c>
      <c r="E41" s="156">
        <f>VLOOKUP(Tableau9[[#This Row],[Colonne1]],Tableau124[#All],4,FALSE)</f>
        <v>21200</v>
      </c>
      <c r="F41" s="156" t="str">
        <f>VLOOKUP(Tableau9[[#This Row],[Colonne1]],Tableau124[#All],5,FALSE)</f>
        <v>10, Rue Jaffelin</v>
      </c>
      <c r="G41" s="156" t="str">
        <f>VLOOKUP(Tableau9[[#This Row],[Colonne1]],Tableau124[#All],6,FALSE)</f>
        <v>Antenne CSAPA</v>
      </c>
      <c r="H41" s="156" t="str">
        <f>VLOOKUP(Tableau9[[#This Row],[Colonne1]],Tableau124[#All],7,FALSE)</f>
        <v>CSAPA Tivoli, Caarud le Spot - SEDAP</v>
      </c>
      <c r="I41" s="156" t="str">
        <f>VLOOKUP(Tableau9[[#This Row],[Colonne1]],Tableau124[#All],8,FALSE)</f>
        <v>Associatif</v>
      </c>
      <c r="J41" s="318" t="str">
        <f>VLOOKUP(Tableau9[[#This Row],[Colonne1]],Tableau124[#All],9,FALSE)</f>
        <v>csapa.beaune@addictions-sedap.fr</v>
      </c>
      <c r="K41" s="238" t="str">
        <f>VLOOKUP(Tableau9[[#This Row],[Colonne1]],Tableau124[#All],10,FALSE)</f>
        <v>0380257367</v>
      </c>
      <c r="L41" s="324" t="str">
        <f>VLOOKUP(Tableau9[[#This Row],[Colonne1]],Tableau124[#All],11,FALSE)</f>
        <v xml:space="preserve"> </v>
      </c>
      <c r="M41" s="101" t="str">
        <f>VLOOKUP(Tableau9[[#This Row],[Colonne1]],Tableau124[#All],12,FALSE)</f>
        <v>Tous les jours - 9h-12h et 14h-17h</v>
      </c>
      <c r="N41" s="149" t="str">
        <f>VLOOKUP(Tableau9[[#This Row],[Colonne1]],Tableau124[#All],13,FALSE)</f>
        <v xml:space="preserve">   </v>
      </c>
    </row>
    <row r="42" spans="2:14" ht="86.45" customHeight="1">
      <c r="B42" s="164">
        <v>35</v>
      </c>
      <c r="C42" s="156" t="str">
        <f>VLOOKUP(Tableau9[[#This Row],[Colonne1]],Tableau124[#All],2,FALSE)</f>
        <v>Côte-d’Or (21)</v>
      </c>
      <c r="D42" s="156" t="str">
        <f>VLOOKUP(Tableau9[[#This Row],[Colonne1]],Tableau124[#All],3,FALSE)</f>
        <v>Is-Sur-Tille</v>
      </c>
      <c r="E42" s="156">
        <f>VLOOKUP(Tableau9[[#This Row],[Colonne1]],Tableau124[#All],4,FALSE)</f>
        <v>21120</v>
      </c>
      <c r="F42" s="156" t="str">
        <f>VLOOKUP(Tableau9[[#This Row],[Colonne1]],Tableau124[#All],5,FALSE)</f>
        <v>20, place Général Leclerc</v>
      </c>
      <c r="G42" s="156" t="str">
        <f>VLOOKUP(Tableau9[[#This Row],[Colonne1]],Tableau124[#All],6,FALSE)</f>
        <v>Antenne CSAPA</v>
      </c>
      <c r="H42" s="156" t="str">
        <f>VLOOKUP(Tableau9[[#This Row],[Colonne1]],Tableau124[#All],7,FALSE)</f>
        <v>CSAPA Tivoli, Caarud le Spot - SEDAP</v>
      </c>
      <c r="I42" s="156" t="str">
        <f>VLOOKUP(Tableau9[[#This Row],[Colonne1]],Tableau124[#All],8,FALSE)</f>
        <v>Associatif</v>
      </c>
      <c r="J42" s="318" t="str">
        <f>VLOOKUP(Tableau9[[#This Row],[Colonne1]],Tableau124[#All],9,FALSE)</f>
        <v>seine-tilles@addictions-sedap.fr</v>
      </c>
      <c r="K42" s="238">
        <f>VLOOKUP(Tableau9[[#This Row],[Colonne1]],Tableau124[#All],10,FALSE)</f>
        <v>811466280</v>
      </c>
      <c r="L42" s="324" t="str">
        <f>VLOOKUP(Tableau9[[#This Row],[Colonne1]],Tableau124[#All],11,FALSE)</f>
        <v xml:space="preserve"> </v>
      </c>
      <c r="M42" s="101" t="str">
        <f>VLOOKUP(Tableau9[[#This Row],[Colonne1]],Tableau124[#All],12,FALSE)</f>
        <v>Les lundis, mercredis 9h-12/14h-18 et vendredis 14h-18h</v>
      </c>
      <c r="N42" s="553" t="str">
        <f>VLOOKUP(Tableau9[[#This Row],[Colonne1]],Tableau124[#All],13,FALSE)</f>
        <v xml:space="preserve">    </v>
      </c>
    </row>
    <row r="43" spans="2:14" ht="86.45" customHeight="1">
      <c r="B43" s="164">
        <v>36</v>
      </c>
      <c r="C43" s="156" t="str">
        <f>VLOOKUP(Tableau9[[#This Row],[Colonne1]],Tableau124[#All],2,FALSE)</f>
        <v>Côte-d’Or (21)</v>
      </c>
      <c r="D43" s="156" t="str">
        <f>VLOOKUP(Tableau9[[#This Row],[Colonne1]],Tableau124[#All],3,FALSE)</f>
        <v>Montbard</v>
      </c>
      <c r="E43" s="156">
        <f>VLOOKUP(Tableau9[[#This Row],[Colonne1]],Tableau124[#All],4,FALSE)</f>
        <v>21500</v>
      </c>
      <c r="F43" s="156" t="str">
        <f>VLOOKUP(Tableau9[[#This Row],[Colonne1]],Tableau124[#All],5,FALSE)</f>
        <v>12 Av. Mal de Lattre de Tassigny (Lycée professionnel)</v>
      </c>
      <c r="G43" s="156" t="str">
        <f>VLOOKUP(Tableau9[[#This Row],[Colonne1]],Tableau124[#All],6,FALSE)</f>
        <v>Antenne CSAPA</v>
      </c>
      <c r="H43" s="156" t="str">
        <f>VLOOKUP(Tableau9[[#This Row],[Colonne1]],Tableau124[#All],7,FALSE)</f>
        <v>CSAPA Tivoli, Caarud le Spot - SEDAP</v>
      </c>
      <c r="I43" s="156" t="str">
        <f>VLOOKUP(Tableau9[[#This Row],[Colonne1]],Tableau124[#All],8,FALSE)</f>
        <v>Associatif</v>
      </c>
      <c r="J43" s="318" t="str">
        <f>VLOOKUP(Tableau9[[#This Row],[Colonne1]],Tableau124[#All],9,FALSE)</f>
        <v>tivoli@addictions-sedap.fr</v>
      </c>
      <c r="K43" s="238">
        <f>VLOOKUP(Tableau9[[#This Row],[Colonne1]],Tableau124[#All],10,FALSE)</f>
        <v>811466280</v>
      </c>
      <c r="L43" s="324" t="str">
        <f>VLOOKUP(Tableau9[[#This Row],[Colonne1]],Tableau124[#All],11,FALSE)</f>
        <v xml:space="preserve"> </v>
      </c>
      <c r="M43" s="101" t="str">
        <f>VLOOKUP(Tableau9[[#This Row],[Colonne1]],Tableau124[#All],12,FALSE)</f>
        <v xml:space="preserve">Tous les mardis : 9h-12h / 14h-18h </v>
      </c>
      <c r="N43" s="149" t="str">
        <f>VLOOKUP(Tableau9[[#This Row],[Colonne1]],Tableau124[#All],13,FALSE)</f>
        <v xml:space="preserve">   </v>
      </c>
    </row>
    <row r="44" spans="2:14" ht="86.45" customHeight="1">
      <c r="B44" s="164">
        <v>41</v>
      </c>
      <c r="C44" s="156" t="str">
        <f>VLOOKUP(Tableau9[[#This Row],[Colonne1]],Tableau124[#All],2,FALSE)</f>
        <v>Côte-d’Or (21)</v>
      </c>
      <c r="D44" s="156" t="str">
        <f>VLOOKUP(Tableau9[[#This Row],[Colonne1]],Tableau124[#All],3,FALSE)</f>
        <v>Selongey</v>
      </c>
      <c r="E44" s="156">
        <f>VLOOKUP(Tableau9[[#This Row],[Colonne1]],Tableau124[#All],4,FALSE)</f>
        <v>21260</v>
      </c>
      <c r="F44" s="156" t="str">
        <f>VLOOKUP(Tableau9[[#This Row],[Colonne1]],Tableau124[#All],5,FALSE)</f>
        <v>Rue du rang Pastourelle</v>
      </c>
      <c r="G44" s="156" t="str">
        <f>VLOOKUP(Tableau9[[#This Row],[Colonne1]],Tableau124[#All],6,FALSE)</f>
        <v>Antenne CSAPA</v>
      </c>
      <c r="H44" s="156" t="str">
        <f>VLOOKUP(Tableau9[[#This Row],[Colonne1]],Tableau124[#All],7,FALSE)</f>
        <v>CSAPA Tivoli, Caarud le Spot - SEDAP</v>
      </c>
      <c r="I44" s="156" t="str">
        <f>VLOOKUP(Tableau9[[#This Row],[Colonne1]],Tableau124[#All],8,FALSE)</f>
        <v>Associatif</v>
      </c>
      <c r="J44" s="318" t="str">
        <f>VLOOKUP(Tableau9[[#This Row],[Colonne1]],Tableau124[#All],9,FALSE)</f>
        <v>seine-tilles@addictions-sedap.fr</v>
      </c>
      <c r="K44" s="238">
        <f>VLOOKUP(Tableau9[[#This Row],[Colonne1]],Tableau124[#All],10,FALSE)</f>
        <v>811466280</v>
      </c>
      <c r="L44" s="324" t="str">
        <f>VLOOKUP(Tableau9[[#This Row],[Colonne1]],Tableau124[#All],11,FALSE)</f>
        <v xml:space="preserve"> </v>
      </c>
      <c r="M44" s="101" t="str">
        <f>VLOOKUP(Tableau9[[#This Row],[Colonne1]],Tableau124[#All],12,FALSE)</f>
        <v>lundi, mercredi 9h-12h/14h-18h et vendredi  9h-12h</v>
      </c>
      <c r="N44" s="149" t="str">
        <f>VLOOKUP(Tableau9[[#This Row],[Colonne1]],Tableau124[#All],13,FALSE)</f>
        <v xml:space="preserve">  </v>
      </c>
    </row>
    <row r="45" spans="2:14" ht="86.45" customHeight="1">
      <c r="B45" s="164">
        <v>38</v>
      </c>
      <c r="C45" s="156" t="str">
        <f>VLOOKUP(Tableau9[[#This Row],[Colonne1]],Tableau124[#All],2,FALSE)</f>
        <v>Côte-d’Or (21)</v>
      </c>
      <c r="D45" s="156" t="str">
        <f>VLOOKUP(Tableau9[[#This Row],[Colonne1]],Tableau124[#All],3,FALSE)</f>
        <v>Montbard</v>
      </c>
      <c r="E45" s="156">
        <f>VLOOKUP(Tableau9[[#This Row],[Colonne1]],Tableau124[#All],4,FALSE)</f>
        <v>21500</v>
      </c>
      <c r="F45" s="156" t="str">
        <f>VLOOKUP(Tableau9[[#This Row],[Colonne1]],Tableau124[#All],5,FALSE)</f>
        <v>CSAPA Tivoli 
35, Rue d'Abrantes</v>
      </c>
      <c r="G45" s="156" t="str">
        <f>VLOOKUP(Tableau9[[#This Row],[Colonne1]],Tableau124[#All],6,FALSE)</f>
        <v>CSAPA (consultations avancées)</v>
      </c>
      <c r="H45" s="156" t="str">
        <f>VLOOKUP(Tableau9[[#This Row],[Colonne1]],Tableau124[#All],7,FALSE)</f>
        <v>CSAPA Tivoli</v>
      </c>
      <c r="I45" s="156" t="str">
        <f>VLOOKUP(Tableau9[[#This Row],[Colonne1]],Tableau124[#All],8,FALSE)</f>
        <v>Associatif</v>
      </c>
      <c r="J45" s="317">
        <f>VLOOKUP(Tableau9[[#This Row],[Colonne1]],Tableau124[#All],9,FALSE)</f>
        <v>0</v>
      </c>
      <c r="K45" s="238">
        <f>VLOOKUP(Tableau9[[#This Row],[Colonne1]],Tableau124[#All],10,FALSE)</f>
        <v>0</v>
      </c>
      <c r="L45" s="324" t="str">
        <f>VLOOKUP(Tableau9[[#This Row],[Colonne1]],Tableau124[#All],11,FALSE)</f>
        <v xml:space="preserve"> </v>
      </c>
      <c r="M45" s="101" t="str">
        <f>VLOOKUP(Tableau9[[#This Row],[Colonne1]],Tableau124[#All],12,FALSE)</f>
        <v>Mardi : 10h 16h</v>
      </c>
      <c r="N45" s="262" t="str">
        <f>VLOOKUP(Tableau9[[#This Row],[Colonne1]],Tableau124[#All],13,FALSE)</f>
        <v>Consultation avancée tous les mardis entre 10h et 16h ( binôme psychologue/travailleur social )</v>
      </c>
    </row>
    <row r="46" spans="2:14" ht="86.45" customHeight="1">
      <c r="B46" s="164">
        <v>17</v>
      </c>
      <c r="C46" s="212" t="str">
        <f>VLOOKUP(Tableau9[[#This Row],[Colonne1]],Tableau124[#All],2,FALSE)</f>
        <v>Côte-d’Or (21)</v>
      </c>
      <c r="D46" s="212" t="str">
        <f>VLOOKUP(Tableau9[[#This Row],[Colonne1]],Tableau124[#All],3,FALSE)</f>
        <v>Dijon</v>
      </c>
      <c r="E46" s="212">
        <f>VLOOKUP(Tableau9[[#This Row],[Colonne1]],Tableau124[#All],4,FALSE)</f>
        <v>21000</v>
      </c>
      <c r="F46" s="212" t="str">
        <f>VLOOKUP(Tableau9[[#This Row],[Colonne1]],Tableau124[#All],5,FALSE)</f>
        <v>6, Avenue Jean Bertin</v>
      </c>
      <c r="G46" s="212" t="str">
        <f>VLOOKUP(Tableau9[[#This Row],[Colonne1]],Tableau124[#All],6,FALSE)</f>
        <v>CJC</v>
      </c>
      <c r="H46" s="212" t="str">
        <f>VLOOKUP(Tableau9[[#This Row],[Colonne1]],Tableau124[#All],7,FALSE)</f>
        <v>CSAPA Tivoli, Caarud le Spot - SEDAP</v>
      </c>
      <c r="I46" s="212" t="str">
        <f>VLOOKUP(Tableau9[[#This Row],[Colonne1]],Tableau124[#All],8,FALSE)</f>
        <v>Associatif</v>
      </c>
      <c r="J46" s="368" t="str">
        <f>VLOOKUP(Tableau9[[#This Row],[Colonne1]],Tableau124[#All],9,FALSE)</f>
        <v>tivoli@addictions-sedap.fr</v>
      </c>
      <c r="K46" s="241" t="str">
        <f>VLOOKUP(Tableau9[[#This Row],[Colonne1]],Tableau124[#All],10,FALSE)</f>
        <v>0811466280</v>
      </c>
      <c r="L46" s="368" t="str">
        <f>VLOOKUP(Tableau9[[#This Row],[Colonne1]],Tableau124[#All],11,FALSE)</f>
        <v>www.addictions-sedap.fr</v>
      </c>
      <c r="M46" s="260" t="str">
        <f>VLOOKUP(Tableau9[[#This Row],[Colonne1]],Tableau124[#All],12,FALSE)</f>
        <v>Tous les jours</v>
      </c>
      <c r="N46" s="277" t="str">
        <f>VLOOKUP(Tableau9[[#This Row],[Colonne1]],Tableau124[#All],13,FALSE)</f>
        <v xml:space="preserve">- Accueil des familles ; 
- Orientation sur rendez-vous ;
- CJC accessible à la famille et l'entourage ; </v>
      </c>
    </row>
    <row r="47" spans="2:14" ht="90">
      <c r="B47" s="164">
        <v>6</v>
      </c>
      <c r="C47" s="217" t="str">
        <f>VLOOKUP(Tableau9[[#This Row],[Colonne1]],Tableau124[#All],2,FALSE)</f>
        <v>Côte-d’Or (21)</v>
      </c>
      <c r="D47" s="126" t="str">
        <f>VLOOKUP(Tableau9[[#This Row],[Colonne1]],Tableau124[#All],3,FALSE)</f>
        <v>Beaune</v>
      </c>
      <c r="E47" s="126" t="str">
        <f>VLOOKUP(Tableau9[[#This Row],[Colonne1]],Tableau124[#All],4,FALSE)</f>
        <v>21200</v>
      </c>
      <c r="F47" s="128" t="str">
        <f>VLOOKUP(Tableau9[[#This Row],[Colonne1]],Tableau124[#All],5,FALSE)</f>
        <v>HOSPICES CIVILS DE BEAUNE
Nouveau bâtiment, 1er étage 
Avenue Guigone de Salins</v>
      </c>
      <c r="G47" s="128" t="str">
        <f>VLOOKUP(Tableau9[[#This Row],[Colonne1]],Tableau124[#All],6,FALSE)</f>
        <v>ELSA</v>
      </c>
      <c r="H47" s="126" t="str">
        <f>VLOOKUP(Tableau9[[#This Row],[Colonne1]],Tableau124[#All],7,FALSE)</f>
        <v>Hospices Civils de Beaune</v>
      </c>
      <c r="I47" s="126" t="str">
        <f>VLOOKUP(Tableau9[[#This Row],[Colonne1]],Tableau124[#All],8,FALSE)</f>
        <v>Public</v>
      </c>
      <c r="J47" s="328" t="str">
        <f>VLOOKUP(Tableau9[[#This Row],[Colonne1]],Tableau124[#All],9,FALSE)</f>
        <v>direction@ch-beaune.fr</v>
      </c>
      <c r="K47" s="373" t="str">
        <f>VLOOKUP(Tableau9[[#This Row],[Colonne1]],Tableau124[#All],10,FALSE)</f>
        <v>0380244608</v>
      </c>
      <c r="L47" s="328" t="str">
        <f>VLOOKUP(Tableau9[[#This Row],[Colonne1]],Tableau124[#All],11,FALSE)</f>
        <v>http://hospices-de-beaune.com/</v>
      </c>
      <c r="M47" s="258" t="str">
        <f>VLOOKUP(Tableau9[[#This Row],[Colonne1]],Tableau124[#All],12,FALSE)</f>
        <v xml:space="preserve">   </v>
      </c>
      <c r="N47" s="274" t="str">
        <f>VLOOKUP(Tableau9[[#This Row],[Colonne1]],Tableau124[#All],13,FALSE)</f>
        <v>- intervention auprès de public majeur ; 
- Intervention sur l'ensemble des services de l'hôpital</v>
      </c>
    </row>
    <row r="48" spans="2:14" ht="90">
      <c r="B48" s="164">
        <v>5</v>
      </c>
      <c r="C48" s="216" t="str">
        <f>VLOOKUP(Tableau9[[#This Row],[Colonne1]],Tableau124[#All],2,FALSE)</f>
        <v>Côte-d’Or (21)</v>
      </c>
      <c r="D48" s="213" t="str">
        <f>VLOOKUP(Tableau9[[#This Row],[Colonne1]],Tableau124[#All],3,FALSE)</f>
        <v>Beaune</v>
      </c>
      <c r="E48" s="213" t="str">
        <f>VLOOKUP(Tableau9[[#This Row],[Colonne1]],Tableau124[#All],4,FALSE)</f>
        <v>21200</v>
      </c>
      <c r="F48" s="111" t="str">
        <f>VLOOKUP(Tableau9[[#This Row],[Colonne1]],Tableau124[#All],5,FALSE)</f>
        <v>HOSPICES CIVILS DE BEAUNE
Nouveau bâtiment, 1er étage 
Avenue Guigone de Salins</v>
      </c>
      <c r="G48" s="111" t="str">
        <f>VLOOKUP(Tableau9[[#This Row],[Colonne1]],Tableau124[#All],6,FALSE)</f>
        <v>Consultations Hospitalières externes d'addictologie</v>
      </c>
      <c r="H48" s="213" t="str">
        <f>VLOOKUP(Tableau9[[#This Row],[Colonne1]],Tableau124[#All],7,FALSE)</f>
        <v>Hospices Civils de Beaune</v>
      </c>
      <c r="I48" s="111" t="str">
        <f>VLOOKUP(Tableau9[[#This Row],[Colonne1]],Tableau124[#All],8,FALSE)</f>
        <v>Public</v>
      </c>
      <c r="J48" s="312" t="str">
        <f>VLOOKUP(Tableau9[[#This Row],[Colonne1]],Tableau124[#All],9,FALSE)</f>
        <v>direction@ch-beaune.fr</v>
      </c>
      <c r="K48" s="242" t="str">
        <f>VLOOKUP(Tableau9[[#This Row],[Colonne1]],Tableau124[#All],10,FALSE)</f>
        <v>0380244608</v>
      </c>
      <c r="L48" s="312" t="str">
        <f>VLOOKUP(Tableau9[[#This Row],[Colonne1]],Tableau124[#All],11,FALSE)</f>
        <v>http://hospices-de-beaune.com/</v>
      </c>
      <c r="M48" s="246" t="str">
        <f>VLOOKUP(Tableau9[[#This Row],[Colonne1]],Tableau124[#All],12,FALSE)</f>
        <v>Du lundi au vendredi de 9h00 à 17h00</v>
      </c>
      <c r="N48" s="129" t="str">
        <f>VLOOKUP(Tableau9[[#This Row],[Colonne1]],Tableau124[#All],13,FALSE)</f>
        <v xml:space="preserve">Intervention auprès de public majeurs </v>
      </c>
    </row>
    <row r="49" spans="2:14" ht="120">
      <c r="B49" s="164">
        <v>7</v>
      </c>
      <c r="C49" s="218" t="str">
        <f>VLOOKUP(Tableau9[[#This Row],[Colonne1]],Tableau124[#All],2,FALSE)</f>
        <v>Côte-d’Or (21)</v>
      </c>
      <c r="D49" s="219" t="str">
        <f>VLOOKUP(Tableau9[[#This Row],[Colonne1]],Tableau124[#All],3,FALSE)</f>
        <v>Beaune</v>
      </c>
      <c r="E49" s="219" t="str">
        <f>VLOOKUP(Tableau9[[#This Row],[Colonne1]],Tableau124[#All],4,FALSE)</f>
        <v>21200</v>
      </c>
      <c r="F49" s="218" t="str">
        <f>VLOOKUP(Tableau9[[#This Row],[Colonne1]],Tableau124[#All],5,FALSE)</f>
        <v>HOSPICES CIVILS DE BEAUNE
Avenue Guigone de Salins</v>
      </c>
      <c r="G49" s="96" t="str">
        <f>VLOOKUP(Tableau9[[#This Row],[Colonne1]],Tableau124[#All],6,FALSE)</f>
        <v>Sevrage simple</v>
      </c>
      <c r="H49" s="220" t="str">
        <f>VLOOKUP(Tableau9[[#This Row],[Colonne1]],Tableau124[#All],7,FALSE)</f>
        <v>Hospices Civils de Beaune</v>
      </c>
      <c r="I49" s="96" t="str">
        <f>VLOOKUP(Tableau9[[#This Row],[Colonne1]],Tableau124[#All],8,FALSE)</f>
        <v>Public</v>
      </c>
      <c r="J49" s="334" t="str">
        <f>VLOOKUP(Tableau9[[#This Row],[Colonne1]],Tableau124[#All],9,FALSE)</f>
        <v>direction@ch-beaune.fr</v>
      </c>
      <c r="K49" s="590" t="str">
        <f>VLOOKUP(Tableau9[[#This Row],[Colonne1]],Tableau124[#All],10,FALSE)</f>
        <v>0380244608</v>
      </c>
      <c r="L49" s="337" t="str">
        <f>VLOOKUP(Tableau9[[#This Row],[Colonne1]],Tableau124[#All],11,FALSE)</f>
        <v>http://hospices-de-beaune.com/</v>
      </c>
      <c r="M49" s="563" t="str">
        <f>VLOOKUP(Tableau9[[#This Row],[Colonne1]],Tableau124[#All],12,FALSE)</f>
        <v xml:space="preserve">  </v>
      </c>
      <c r="N49" s="275" t="str">
        <f>VLOOKUP(Tableau9[[#This Row],[Colonne1]],Tableau124[#All],13,FALSE)</f>
        <v xml:space="preserve">- interventions auprès d'un public majeur ; 
- pas de lit déidié, demande auprès du service de rattachement selon disponibilité ;
- unité de médecine 2, service de médecine polyvalente à orientation gastroentérologique et oncologique. </v>
      </c>
    </row>
  </sheetData>
  <mergeCells count="1">
    <mergeCell ref="C3:O3"/>
  </mergeCell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9BE1"/>
  </sheetPr>
  <dimension ref="A1:O42"/>
  <sheetViews>
    <sheetView topLeftCell="A19" zoomScale="39" zoomScaleNormal="40" workbookViewId="0">
      <selection activeCell="A14" sqref="A14:XFD14"/>
    </sheetView>
  </sheetViews>
  <sheetFormatPr baseColWidth="10" defaultColWidth="10.5703125" defaultRowHeight="15"/>
  <cols>
    <col min="1" max="1" width="16.5703125" style="48" customWidth="1"/>
    <col min="2" max="2" width="10.42578125" style="166" customWidth="1"/>
    <col min="3" max="3" width="16.42578125" style="1" customWidth="1"/>
    <col min="4" max="4" width="36.28515625" style="1" customWidth="1"/>
    <col min="5" max="5" width="24.140625" style="1" customWidth="1"/>
    <col min="6" max="6" width="28.140625" style="1" customWidth="1"/>
    <col min="7" max="7" width="29.42578125" style="1" customWidth="1"/>
    <col min="8" max="8" width="19.140625" style="1" customWidth="1"/>
    <col min="9" max="9" width="33.140625" style="1" customWidth="1"/>
    <col min="10" max="10" width="20.42578125" style="1" customWidth="1"/>
    <col min="11" max="11" width="39.42578125" style="1" customWidth="1"/>
    <col min="12" max="12" width="23.42578125" style="1" customWidth="1"/>
    <col min="13" max="13" width="25.140625" style="1" customWidth="1"/>
    <col min="14" max="14" width="28.42578125" style="1" customWidth="1"/>
    <col min="15" max="15" width="42.42578125" style="1" hidden="1" customWidth="1"/>
    <col min="16" max="16384" width="10.5703125" style="1"/>
  </cols>
  <sheetData>
    <row r="1" spans="1:15" ht="57.6" customHeight="1">
      <c r="B1" s="165"/>
      <c r="C1" s="48"/>
      <c r="D1" s="48"/>
      <c r="E1" s="48"/>
      <c r="F1" s="48"/>
      <c r="G1" s="48"/>
      <c r="H1" s="48"/>
      <c r="I1" s="48"/>
      <c r="J1" s="48"/>
      <c r="K1" s="48"/>
      <c r="L1" s="48"/>
      <c r="M1" s="48"/>
      <c r="N1" s="48"/>
    </row>
    <row r="3" spans="1:15" ht="18.75">
      <c r="C3" s="709" t="s">
        <v>767</v>
      </c>
      <c r="D3" s="709"/>
      <c r="E3" s="709"/>
      <c r="F3" s="709"/>
      <c r="G3" s="709"/>
      <c r="H3" s="709"/>
      <c r="I3" s="709"/>
      <c r="J3" s="709"/>
      <c r="K3" s="709"/>
      <c r="L3" s="709"/>
      <c r="M3" s="709"/>
      <c r="N3" s="709"/>
      <c r="O3" s="709"/>
    </row>
    <row r="5" spans="1:15" ht="41.1" customHeight="1">
      <c r="A5" s="49"/>
      <c r="B5" s="23" t="s">
        <v>1078</v>
      </c>
      <c r="C5" s="22" t="s">
        <v>17</v>
      </c>
      <c r="D5" s="23" t="s">
        <v>18</v>
      </c>
      <c r="E5" s="23" t="s">
        <v>19</v>
      </c>
      <c r="F5" s="23" t="s">
        <v>20</v>
      </c>
      <c r="G5" s="23" t="s">
        <v>21</v>
      </c>
      <c r="H5" s="23" t="s">
        <v>22</v>
      </c>
      <c r="I5" s="23" t="s">
        <v>23</v>
      </c>
      <c r="J5" s="23" t="s">
        <v>24</v>
      </c>
      <c r="K5" s="23" t="s">
        <v>25</v>
      </c>
      <c r="L5" s="23" t="s">
        <v>26</v>
      </c>
      <c r="M5" s="23" t="s">
        <v>27</v>
      </c>
      <c r="N5" s="24" t="s">
        <v>28</v>
      </c>
    </row>
    <row r="6" spans="1:15" ht="86.45" customHeight="1">
      <c r="B6" s="164">
        <v>131</v>
      </c>
      <c r="C6" s="156" t="str">
        <f>VLOOKUP(Tableau12[[#This Row],[Colonne1]],Tableau124[#All],2,FALSE)</f>
        <v>Jura (39)</v>
      </c>
      <c r="D6" s="156" t="str">
        <f>VLOOKUP(Tableau12[[#This Row],[Colonne1]],Tableau124[#All],3,FALSE)</f>
        <v>Lons Le Saunier</v>
      </c>
      <c r="E6" s="156" t="str">
        <f>VLOOKUP(Tableau12[[#This Row],[Colonne1]],Tableau124[#All],4,FALSE)</f>
        <v>39000</v>
      </c>
      <c r="F6" s="156" t="str">
        <f>VLOOKUP(Tableau12[[#This Row],[Colonne1]],Tableau124[#All],5,FALSE)</f>
        <v>1, Rue de Balerne</v>
      </c>
      <c r="G6" s="156" t="str">
        <f>VLOOKUP(Tableau12[[#This Row],[Colonne1]],Tableau124[#All],6,FALSE)</f>
        <v>CSAPA</v>
      </c>
      <c r="H6" s="156" t="str">
        <f>VLOOKUP(Tableau12[[#This Row],[Colonne1]],Tableau124[#All],7,FALSE)</f>
        <v>CSAPA de l'ADLCA</v>
      </c>
      <c r="I6" s="156" t="str">
        <f>VLOOKUP(Tableau12[[#This Row],[Colonne1]],Tableau124[#All],8,FALSE)</f>
        <v>Associatif</v>
      </c>
      <c r="J6" s="102" t="str">
        <f>VLOOKUP(Tableau12[[#This Row],[Colonne1]],Tableau124[#All],9,FALSE)</f>
        <v>lons@csapa-adlca.fr</v>
      </c>
      <c r="K6" s="103" t="str">
        <f>VLOOKUP(Tableau12[[#This Row],[Colonne1]],Tableau124[#All],10,FALSE)</f>
        <v>0384240571</v>
      </c>
      <c r="L6" s="317" t="str">
        <f>VLOOKUP(Tableau12[[#This Row],[Colonne1]],Tableau124[#All],11,FALSE)</f>
        <v>https://csapa-adlca.fr/</v>
      </c>
      <c r="M6" s="105" t="str">
        <f>VLOOKUP(Tableau12[[#This Row],[Colonne1]],Tableau124[#All],12,FALSE)</f>
        <v>Lundi au vendredi 8h30-17h30</v>
      </c>
      <c r="N6" s="106" t="str">
        <f>VLOOKUP(Tableau12[[#This Row],[Colonne1]],Tableau124[#All],13,FALSE)</f>
        <v>- Réalisation de consultations avancées sur Cousance et Salins-les-Bains ;
- intervention en milieu pénitentiaire à la maison d'arrêt de Lons-le-Saunier ;
- mise à disposition de matériel de consommation à moindre risque ;
- dispositifs anti-overdose à disposition ; 
- présence d'une CJC.</v>
      </c>
    </row>
    <row r="7" spans="1:15" ht="86.45" customHeight="1">
      <c r="B7" s="164">
        <v>120</v>
      </c>
      <c r="C7" s="156" t="str">
        <f>VLOOKUP(Tableau12[[#This Row],[Colonne1]],Tableau124[#All],2,FALSE)</f>
        <v>Jura (39)</v>
      </c>
      <c r="D7" s="156" t="str">
        <f>VLOOKUP(Tableau12[[#This Row],[Colonne1]],Tableau124[#All],3,FALSE)</f>
        <v>Cousance</v>
      </c>
      <c r="E7" s="156">
        <f>VLOOKUP(Tableau12[[#This Row],[Colonne1]],Tableau124[#All],4,FALSE)</f>
        <v>39190</v>
      </c>
      <c r="F7" s="156" t="str">
        <f>VLOOKUP(Tableau12[[#This Row],[Colonne1]],Tableau124[#All],5,FALSE)</f>
        <v>60 grande rue</v>
      </c>
      <c r="G7" s="156" t="str">
        <f>VLOOKUP(Tableau12[[#This Row],[Colonne1]],Tableau124[#All],6,FALSE)</f>
        <v>CSAPA (consultations avancées)</v>
      </c>
      <c r="H7" s="156" t="str">
        <f>VLOOKUP(Tableau12[[#This Row],[Colonne1]],Tableau124[#All],7,FALSE)</f>
        <v>CSAPA de l'ADLCA - consultations avancées</v>
      </c>
      <c r="I7" s="156" t="str">
        <f>VLOOKUP(Tableau12[[#This Row],[Colonne1]],Tableau124[#All],8,FALSE)</f>
        <v>Associatif</v>
      </c>
      <c r="J7" s="102" t="str">
        <f>VLOOKUP(Tableau12[[#This Row],[Colonne1]],Tableau124[#All],9,FALSE)</f>
        <v>lons@csapa-adlca.fr</v>
      </c>
      <c r="K7" s="103" t="str">
        <f>VLOOKUP(Tableau12[[#This Row],[Colonne1]],Tableau124[#All],10,FALSE)</f>
        <v>0384240572</v>
      </c>
      <c r="L7" s="317" t="str">
        <f>VLOOKUP(Tableau12[[#This Row],[Colonne1]],Tableau124[#All],11,FALSE)</f>
        <v>https://csapa-adlca.fr/</v>
      </c>
      <c r="M7" s="105" t="str">
        <f>VLOOKUP(Tableau12[[#This Row],[Colonne1]],Tableau124[#All],12,FALSE)</f>
        <v>lundi après midi 14h-17h et le vendredi matin 9h-13h</v>
      </c>
      <c r="N7" s="89" t="str">
        <f>VLOOKUP(Tableau12[[#This Row],[Colonne1]],Tableau124[#All],13,FALSE)</f>
        <v>Réalisation de consultations avancées</v>
      </c>
    </row>
    <row r="8" spans="1:15" ht="86.45" customHeight="1">
      <c r="B8" s="164">
        <v>140</v>
      </c>
      <c r="C8" s="156" t="str">
        <f>VLOOKUP(Tableau12[[#This Row],[Colonne1]],Tableau124[#All],2,FALSE)</f>
        <v>Jura (39)</v>
      </c>
      <c r="D8" s="156" t="str">
        <f>VLOOKUP(Tableau12[[#This Row],[Colonne1]],Tableau124[#All],3,FALSE)</f>
        <v>Salins Les Bains</v>
      </c>
      <c r="E8" s="156">
        <f>VLOOKUP(Tableau12[[#This Row],[Colonne1]],Tableau124[#All],4,FALSE)</f>
        <v>39110</v>
      </c>
      <c r="F8" s="156" t="str">
        <f>VLOOKUP(Tableau12[[#This Row],[Colonne1]],Tableau124[#All],5,FALSE)</f>
        <v>Passage du Docteur Germain</v>
      </c>
      <c r="G8" s="156" t="str">
        <f>VLOOKUP(Tableau12[[#This Row],[Colonne1]],Tableau124[#All],6,FALSE)</f>
        <v>CSAPA (consultations avancées)</v>
      </c>
      <c r="H8" s="156" t="str">
        <f>VLOOKUP(Tableau12[[#This Row],[Colonne1]],Tableau124[#All],7,FALSE)</f>
        <v>CSAPA de l'ADLCA - consultations avancées</v>
      </c>
      <c r="I8" s="156" t="str">
        <f>VLOOKUP(Tableau12[[#This Row],[Colonne1]],Tableau124[#All],8,FALSE)</f>
        <v>Associatif</v>
      </c>
      <c r="J8" s="102" t="str">
        <f>VLOOKUP(Tableau12[[#This Row],[Colonne1]],Tableau124[#All],9,FALSE)</f>
        <v>lons@csapa-adlca.fr</v>
      </c>
      <c r="K8" s="103" t="str">
        <f>VLOOKUP(Tableau12[[#This Row],[Colonne1]],Tableau124[#All],10,FALSE)</f>
        <v>0384240573</v>
      </c>
      <c r="L8" s="317" t="str">
        <f>VLOOKUP(Tableau12[[#This Row],[Colonne1]],Tableau124[#All],11,FALSE)</f>
        <v>https://csapa-adlca.fr/</v>
      </c>
      <c r="M8" s="105" t="str">
        <f>VLOOKUP(Tableau12[[#This Row],[Colonne1]],Tableau124[#All],12,FALSE)</f>
        <v>mercredi de 14h à 17h</v>
      </c>
      <c r="N8" s="89" t="str">
        <f>VLOOKUP(Tableau12[[#This Row],[Colonne1]],Tableau124[#All],13,FALSE)</f>
        <v>Réalisation de consultations avancées</v>
      </c>
    </row>
    <row r="9" spans="1:15" ht="86.45" customHeight="1">
      <c r="B9" s="164">
        <v>116</v>
      </c>
      <c r="C9" s="156" t="str">
        <f>VLOOKUP(Tableau12[[#This Row],[Colonne1]],Tableau124[#All],2,FALSE)</f>
        <v>Jura (39)</v>
      </c>
      <c r="D9" s="156" t="str">
        <f>VLOOKUP(Tableau12[[#This Row],[Colonne1]],Tableau124[#All],3,FALSE)</f>
        <v>Arbois</v>
      </c>
      <c r="E9" s="156">
        <f>VLOOKUP(Tableau12[[#This Row],[Colonne1]],Tableau124[#All],4,FALSE)</f>
        <v>39600</v>
      </c>
      <c r="F9" s="156" t="str">
        <f>VLOOKUP(Tableau12[[#This Row],[Colonne1]],Tableau124[#All],5,FALSE)</f>
        <v>23 rue de l'hôpital</v>
      </c>
      <c r="G9" s="156" t="str">
        <f>VLOOKUP(Tableau12[[#This Row],[Colonne1]],Tableau124[#All],6,FALSE)</f>
        <v>Antenne CSAPA</v>
      </c>
      <c r="H9" s="156" t="str">
        <f>VLOOKUP(Tableau12[[#This Row],[Colonne1]],Tableau124[#All],7,FALSE)</f>
        <v>CSAPA de l'ADLCA</v>
      </c>
      <c r="I9" s="156" t="str">
        <f>VLOOKUP(Tableau12[[#This Row],[Colonne1]],Tableau124[#All],8,FALSE)</f>
        <v>Associatif</v>
      </c>
      <c r="J9" s="102" t="str">
        <f>VLOOKUP(Tableau12[[#This Row],[Colonne1]],Tableau124[#All],9,FALSE)</f>
        <v>arbois@csapa-adlca.fr</v>
      </c>
      <c r="K9" s="103" t="str">
        <f>VLOOKUP(Tableau12[[#This Row],[Colonne1]],Tableau124[#All],10,FALSE)</f>
        <v>0384252612</v>
      </c>
      <c r="L9" s="325" t="str">
        <f>VLOOKUP(Tableau12[[#This Row],[Colonne1]],Tableau124[#All],11,FALSE)</f>
        <v xml:space="preserve"> </v>
      </c>
      <c r="M9" s="104" t="str">
        <f>VLOOKUP(Tableau12[[#This Row],[Colonne1]],Tableau124[#All],12,FALSE)</f>
        <v>lundi au vendredi, 9h-17h30</v>
      </c>
      <c r="N9" s="135" t="str">
        <f>VLOOKUP(Tableau12[[#This Row],[Colonne1]],Tableau124[#All],13,FALSE)</f>
        <v xml:space="preserve">  </v>
      </c>
    </row>
    <row r="10" spans="1:15" ht="86.45" customHeight="1">
      <c r="B10" s="164">
        <v>119</v>
      </c>
      <c r="C10" s="156" t="str">
        <f>VLOOKUP(Tableau12[[#This Row],[Colonne1]],Tableau124[#All],2,FALSE)</f>
        <v>Jura (39)</v>
      </c>
      <c r="D10" s="156" t="str">
        <f>VLOOKUP(Tableau12[[#This Row],[Colonne1]],Tableau124[#All],3,FALSE)</f>
        <v>Champagnole</v>
      </c>
      <c r="E10" s="156">
        <f>VLOOKUP(Tableau12[[#This Row],[Colonne1]],Tableau124[#All],4,FALSE)</f>
        <v>39300</v>
      </c>
      <c r="F10" s="156" t="str">
        <f>VLOOKUP(Tableau12[[#This Row],[Colonne1]],Tableau124[#All],5,FALSE)</f>
        <v>Cité javel, rue Casimir Blondeau</v>
      </c>
      <c r="G10" s="156" t="str">
        <f>VLOOKUP(Tableau12[[#This Row],[Colonne1]],Tableau124[#All],6,FALSE)</f>
        <v>Antenne CSAPA</v>
      </c>
      <c r="H10" s="156" t="str">
        <f>VLOOKUP(Tableau12[[#This Row],[Colonne1]],Tableau124[#All],7,FALSE)</f>
        <v>CSAPA de l'ADLCA</v>
      </c>
      <c r="I10" s="156" t="str">
        <f>VLOOKUP(Tableau12[[#This Row],[Colonne1]],Tableau124[#All],8,FALSE)</f>
        <v>Associatif</v>
      </c>
      <c r="J10" s="102" t="str">
        <f>VLOOKUP(Tableau12[[#This Row],[Colonne1]],Tableau124[#All],9,FALSE)</f>
        <v>champagnole@csapa-adlca.fr</v>
      </c>
      <c r="K10" s="103" t="str">
        <f>VLOOKUP(Tableau12[[#This Row],[Colonne1]],Tableau124[#All],10,FALSE)</f>
        <v>0970501350</v>
      </c>
      <c r="L10" s="325" t="str">
        <f>VLOOKUP(Tableau12[[#This Row],[Colonne1]],Tableau124[#All],11,FALSE)</f>
        <v xml:space="preserve"> </v>
      </c>
      <c r="M10" s="105" t="str">
        <f>VLOOKUP(Tableau12[[#This Row],[Colonne1]],Tableau124[#All],12,FALSE)</f>
        <v>lundi au vendredi, 9h-17h30</v>
      </c>
      <c r="N10" s="135" t="str">
        <f>VLOOKUP(Tableau12[[#This Row],[Colonne1]],Tableau124[#All],13,FALSE)</f>
        <v xml:space="preserve">  </v>
      </c>
    </row>
    <row r="11" spans="1:15" ht="86.45" customHeight="1">
      <c r="B11" s="164">
        <v>129</v>
      </c>
      <c r="C11" s="212" t="str">
        <f>VLOOKUP(Tableau12[[#This Row],[Colonne1]],Tableau124[#All],2,FALSE)</f>
        <v>Jura (39)</v>
      </c>
      <c r="D11" s="212" t="str">
        <f>VLOOKUP(Tableau12[[#This Row],[Colonne1]],Tableau124[#All],3,FALSE)</f>
        <v>Lons Le Saunier</v>
      </c>
      <c r="E11" s="212" t="str">
        <f>VLOOKUP(Tableau12[[#This Row],[Colonne1]],Tableau124[#All],4,FALSE)</f>
        <v>39000</v>
      </c>
      <c r="F11" s="212" t="str">
        <f>VLOOKUP(Tableau12[[#This Row],[Colonne1]],Tableau124[#All],5,FALSE)</f>
        <v>1, Rue de Balerne</v>
      </c>
      <c r="G11" s="212" t="str">
        <f>VLOOKUP(Tableau12[[#This Row],[Colonne1]],Tableau124[#All],6,FALSE)</f>
        <v>CJC</v>
      </c>
      <c r="H11" s="212" t="str">
        <f>VLOOKUP(Tableau12[[#This Row],[Colonne1]],Tableau124[#All],7,FALSE)</f>
        <v>CSAPA de l'ADLCA</v>
      </c>
      <c r="I11" s="212" t="str">
        <f>VLOOKUP(Tableau12[[#This Row],[Colonne1]],Tableau124[#All],8,FALSE)</f>
        <v>Associatif</v>
      </c>
      <c r="J11" s="93" t="str">
        <f>VLOOKUP(Tableau12[[#This Row],[Colonne1]],Tableau124[#All],9,FALSE)</f>
        <v>lons@csapa-adlca.fr</v>
      </c>
      <c r="K11" s="94" t="str">
        <f>VLOOKUP(Tableau12[[#This Row],[Colonne1]],Tableau124[#All],10,FALSE)</f>
        <v>0384240571</v>
      </c>
      <c r="L11" s="369" t="str">
        <f>VLOOKUP(Tableau12[[#This Row],[Colonne1]],Tableau124[#All],11,FALSE)</f>
        <v>https://csapa-adlca.fr/</v>
      </c>
      <c r="M11" s="264" t="str">
        <f>VLOOKUP(Tableau12[[#This Row],[Colonne1]],Tableau124[#All],12,FALSE)</f>
        <v>1er et 3ème mercredi de chaque mois de 14h à 17h à Lons
1er mercredi de chaque mois le matin et 3ème mercredi du mois après midi sur Arbois</v>
      </c>
      <c r="N11" s="599" t="str">
        <f>VLOOKUP(Tableau12[[#This Row],[Colonne1]],Tableau124[#All],13,FALSE)</f>
        <v xml:space="preserve">- Accueil des familles ; 
- Orientation sur rendez-vous ;
- CJC accessible à la famille et l'entourage ; 
- locaux identiques à ceux du CSAPA. </v>
      </c>
    </row>
    <row r="12" spans="1:15" ht="47.85" customHeight="1">
      <c r="B12" s="164">
        <v>117</v>
      </c>
      <c r="C12" s="96" t="str">
        <f>VLOOKUP(Tableau12[[#This Row],[Colonne1]],Tableau124[#All],2,FALSE)</f>
        <v>Jura (39)</v>
      </c>
      <c r="D12" s="96" t="str">
        <f>VLOOKUP(Tableau12[[#This Row],[Colonne1]],Tableau124[#All],3,FALSE)</f>
        <v>Bletterans</v>
      </c>
      <c r="E12" s="228" t="str">
        <f>VLOOKUP(Tableau12[[#This Row],[Colonne1]],Tableau124[#All],4,FALSE)</f>
        <v>39140</v>
      </c>
      <c r="F12" s="96" t="str">
        <f>VLOOKUP(Tableau12[[#This Row],[Colonne1]],Tableau124[#All],5,FALSE)</f>
        <v>7 rue de la Demi Lune</v>
      </c>
      <c r="G12" s="96" t="str">
        <f>VLOOKUP(Tableau12[[#This Row],[Colonne1]],Tableau124[#All],6,FALSE)</f>
        <v>Sevrage simple</v>
      </c>
      <c r="H12" s="96" t="str">
        <f>VLOOKUP(Tableau12[[#This Row],[Colonne1]],Tableau124[#All],7,FALSE)</f>
        <v>ADLCA</v>
      </c>
      <c r="I12" s="96" t="str">
        <f>VLOOKUP(Tableau12[[#This Row],[Colonne1]],Tableau124[#All],8,FALSE)</f>
        <v>Associatif</v>
      </c>
      <c r="J12" s="143" t="str">
        <f>VLOOKUP(Tableau12[[#This Row],[Colonne1]],Tableau124[#All],9,FALSE)</f>
        <v>contact@adlca-bletterans.fr</v>
      </c>
      <c r="K12" s="170" t="str">
        <f>VLOOKUP(Tableau12[[#This Row],[Colonne1]],Tableau124[#All],10,FALSE)</f>
        <v>03 84 48 17 21</v>
      </c>
      <c r="L12" s="335" t="str">
        <f>VLOOKUP(Tableau12[[#This Row],[Colonne1]],Tableau124[#All],11,FALSE)</f>
        <v>www.adlca.fr</v>
      </c>
      <c r="M12" s="257" t="str">
        <f>VLOOKUP(Tableau12[[#This Row],[Colonne1]],Tableau124[#All],12,FALSE)</f>
        <v xml:space="preserve">  </v>
      </c>
      <c r="N12" s="97" t="str">
        <f>VLOOKUP(Tableau12[[#This Row],[Colonne1]],Tableau124[#All],13,FALSE)</f>
        <v>- interventions auprès d'un public majeur ; 
- lits installés au sein d'une même unité ; 
- unité MCO.</v>
      </c>
    </row>
    <row r="13" spans="1:15" ht="86.45" customHeight="1">
      <c r="B13" s="164">
        <v>118</v>
      </c>
      <c r="C13" s="127" t="str">
        <f>VLOOKUP(Tableau12[[#This Row],[Colonne1]],Tableau124[#All],2,FALSE)</f>
        <v>Jura (39)</v>
      </c>
      <c r="D13" s="127" t="str">
        <f>VLOOKUP(Tableau12[[#This Row],[Colonne1]],Tableau124[#All],3,FALSE)</f>
        <v>Bletterans</v>
      </c>
      <c r="E13" s="127" t="str">
        <f>VLOOKUP(Tableau12[[#This Row],[Colonne1]],Tableau124[#All],4,FALSE)</f>
        <v>39140</v>
      </c>
      <c r="F13" s="127" t="str">
        <f>VLOOKUP(Tableau12[[#This Row],[Colonne1]],Tableau124[#All],5,FALSE)</f>
        <v>7 rue de la Demi Lune</v>
      </c>
      <c r="G13" s="98" t="str">
        <f>VLOOKUP(Tableau12[[#This Row],[Colonne1]],Tableau124[#All],6,FALSE)</f>
        <v>SMRA</v>
      </c>
      <c r="H13" s="127" t="str">
        <f>VLOOKUP(Tableau12[[#This Row],[Colonne1]],Tableau124[#All],7,FALSE)</f>
        <v>ADLCA</v>
      </c>
      <c r="I13" s="127" t="str">
        <f>VLOOKUP(Tableau12[[#This Row],[Colonne1]],Tableau124[#All],8,FALSE)</f>
        <v>Associatif</v>
      </c>
      <c r="J13" s="560" t="str">
        <f>VLOOKUP(Tableau12[[#This Row],[Colonne1]],Tableau124[#All],9,FALSE)</f>
        <v>contact@adlca-bletterans.fr</v>
      </c>
      <c r="K13" s="593" t="str">
        <f>VLOOKUP(Tableau12[[#This Row],[Colonne1]],Tableau124[#All],10,FALSE)</f>
        <v>03 84 48 17 21</v>
      </c>
      <c r="L13" s="341" t="str">
        <f>VLOOKUP(Tableau12[[#This Row],[Colonne1]],Tableau124[#All],11,FALSE)</f>
        <v>www.adlca.fr</v>
      </c>
      <c r="M13" s="257" t="str">
        <f>VLOOKUP(Tableau12[[#This Row],[Colonne1]],Tableau124[#All],12,FALSE)</f>
        <v xml:space="preserve">  </v>
      </c>
      <c r="N13" s="600" t="str">
        <f>VLOOKUP(Tableau12[[#This Row],[Colonne1]],Tableau124[#All],13,FALSE)</f>
        <v xml:space="preserve">- intervention auprès d'un public majeur ; </v>
      </c>
    </row>
    <row r="14" spans="1:15" ht="86.45" customHeight="1">
      <c r="B14" s="164">
        <v>133</v>
      </c>
      <c r="C14" s="126" t="str">
        <f>VLOOKUP(Tableau12[[#This Row],[Colonne1]],Tableau124[#All],2,FALSE)</f>
        <v>Jura (39)</v>
      </c>
      <c r="D14" s="126" t="str">
        <f>VLOOKUP(Tableau12[[#This Row],[Colonne1]],Tableau124[#All],3,FALSE)</f>
        <v>Lons Le Saunier</v>
      </c>
      <c r="E14" s="126" t="str">
        <f>VLOOKUP(Tableau12[[#This Row],[Colonne1]],Tableau124[#All],4,FALSE)</f>
        <v>39000</v>
      </c>
      <c r="F14" s="126" t="str">
        <f>VLOOKUP(Tableau12[[#This Row],[Colonne1]],Tableau124[#All],5,FALSE)</f>
        <v>Centre Hospitalier de Lons le Saunier, 55 rue du Dr Jean Michel, Dans plusieurs services</v>
      </c>
      <c r="G14" s="128" t="str">
        <f>VLOOKUP(Tableau12[[#This Row],[Colonne1]],Tableau124[#All],6,FALSE)</f>
        <v>ELSA</v>
      </c>
      <c r="H14" s="126" t="str">
        <f>VLOOKUP(Tableau12[[#This Row],[Colonne1]],Tableau124[#All],7,FALSE)</f>
        <v>Centre Hospitalier de Lons le Saunier</v>
      </c>
      <c r="I14" s="126" t="str">
        <f>VLOOKUP(Tableau12[[#This Row],[Colonne1]],Tableau124[#All],8,FALSE)</f>
        <v>Public</v>
      </c>
      <c r="J14" s="65" t="str">
        <f>VLOOKUP(Tableau12[[#This Row],[Colonne1]],Tableau124[#All],9,FALSE)</f>
        <v>direction.generale@hopitaux-jura.fr</v>
      </c>
      <c r="K14" s="169" t="str">
        <f>VLOOKUP(Tableau12[[#This Row],[Colonne1]],Tableau124[#All],10,FALSE)</f>
        <v>03.84.35.61.24 ou 03.84.35.61.27</v>
      </c>
      <c r="L14" s="328" t="str">
        <f>VLOOKUP(Tableau12[[#This Row],[Colonne1]],Tableau124[#All],11,FALSE)</f>
        <v>https://hopitaux-jura.fr/</v>
      </c>
      <c r="M14" s="257" t="str">
        <f>VLOOKUP(Tableau12[[#This Row],[Colonne1]],Tableau124[#All],12,FALSE)</f>
        <v xml:space="preserve">  </v>
      </c>
      <c r="N14" s="64" t="str">
        <f>VLOOKUP(Tableau12[[#This Row],[Colonne1]],Tableau124[#All],13,FALSE)</f>
        <v>- intervention auprès de public majeur ; 
- Tous les services demandeurs (urgences, post-urgences, maternité-gynéco, réa, chirurgie, neurologie, diabéto, gériatrie, pédiatrie, cardiologie...).
NB : nous accueillons tous ceux qui en font la demande, majeurs et mineurs...</v>
      </c>
    </row>
    <row r="15" spans="1:15" ht="86.45" customHeight="1">
      <c r="B15" s="164">
        <v>130</v>
      </c>
      <c r="C15" s="111" t="str">
        <f>VLOOKUP(Tableau12[[#This Row],[Colonne1]],Tableau124[#All],2,FALSE)</f>
        <v>Jura (39)</v>
      </c>
      <c r="D15" s="111" t="str">
        <f>VLOOKUP(Tableau12[[#This Row],[Colonne1]],Tableau124[#All],3,FALSE)</f>
        <v>Lons Le Saunier</v>
      </c>
      <c r="E15" s="111" t="str">
        <f>VLOOKUP(Tableau12[[#This Row],[Colonne1]],Tableau124[#All],4,FALSE)</f>
        <v>39000</v>
      </c>
      <c r="F15" s="111" t="str">
        <f>VLOOKUP(Tableau12[[#This Row],[Colonne1]],Tableau124[#All],5,FALSE)</f>
        <v>Pavillon B, 3ème étage.
55 Rue du Dr Jean Michel</v>
      </c>
      <c r="G15" s="111" t="str">
        <f>VLOOKUP(Tableau12[[#This Row],[Colonne1]],Tableau124[#All],6,FALSE)</f>
        <v>Consultations Hospitalières externes d'addictologie</v>
      </c>
      <c r="H15" s="111" t="str">
        <f>VLOOKUP(Tableau12[[#This Row],[Colonne1]],Tableau124[#All],7,FALSE)</f>
        <v>Centre Hospitalier de Lons le Saunier</v>
      </c>
      <c r="I15" s="111" t="str">
        <f>VLOOKUP(Tableau12[[#This Row],[Colonne1]],Tableau124[#All],8,FALSE)</f>
        <v>Public</v>
      </c>
      <c r="J15" s="140" t="str">
        <f>VLOOKUP(Tableau12[[#This Row],[Colonne1]],Tableau124[#All],9,FALSE)</f>
        <v>direction.generale@hopitaux-jura.fr</v>
      </c>
      <c r="K15" s="141" t="str">
        <f>VLOOKUP(Tableau12[[#This Row],[Colonne1]],Tableau124[#All],10,FALSE)</f>
        <v>03 84 35 60 00</v>
      </c>
      <c r="L15" s="312" t="str">
        <f>VLOOKUP(Tableau12[[#This Row],[Colonne1]],Tableau124[#All],11,FALSE)</f>
        <v>https://hopitaux-jura.fr/</v>
      </c>
      <c r="M15" s="246" t="str">
        <f>VLOOKUP(Tableau12[[#This Row],[Colonne1]],Tableau124[#All],12,FALSE)</f>
        <v>Tous les jours (ouvrables) plutôt l'après-midi (mais aussi le matin si urgence).</v>
      </c>
      <c r="N15" s="136" t="str">
        <f>VLOOKUP(Tableau12[[#This Row],[Colonne1]],Tableau124[#All],13,FALSE)</f>
        <v>Intervention auprès de public majeurs et mineurs</v>
      </c>
    </row>
    <row r="16" spans="1:15" ht="86.45" customHeight="1">
      <c r="B16" s="164">
        <v>134</v>
      </c>
      <c r="C16" s="96" t="str">
        <f>VLOOKUP(Tableau12[[#This Row],[Colonne1]],Tableau124[#All],2,FALSE)</f>
        <v>Jura (39)</v>
      </c>
      <c r="D16" s="96" t="str">
        <f>VLOOKUP(Tableau12[[#This Row],[Colonne1]],Tableau124[#All],3,FALSE)</f>
        <v>Lons Le Saunier</v>
      </c>
      <c r="E16" s="96" t="str">
        <f>VLOOKUP(Tableau12[[#This Row],[Colonne1]],Tableau124[#All],4,FALSE)</f>
        <v>39000</v>
      </c>
      <c r="F16" s="96" t="str">
        <f>VLOOKUP(Tableau12[[#This Row],[Colonne1]],Tableau124[#All],5,FALSE)</f>
        <v>entre Hospitalier de Lons le Saunier, 55 rue du Dr Jean-Michel, Médecine 1, UF d'Addictologie</v>
      </c>
      <c r="G16" s="96" t="str">
        <f>VLOOKUP(Tableau12[[#This Row],[Colonne1]],Tableau124[#All],6,FALSE)</f>
        <v>Sevrage simple</v>
      </c>
      <c r="H16" s="96" t="str">
        <f>VLOOKUP(Tableau12[[#This Row],[Colonne1]],Tableau124[#All],7,FALSE)</f>
        <v>Centre Hospitalier de Lons le Saunier</v>
      </c>
      <c r="I16" s="96" t="str">
        <f>VLOOKUP(Tableau12[[#This Row],[Colonne1]],Tableau124[#All],8,FALSE)</f>
        <v>Public</v>
      </c>
      <c r="J16" s="143" t="str">
        <f>VLOOKUP(Tableau12[[#This Row],[Colonne1]],Tableau124[#All],9,FALSE)</f>
        <v>direction.generale@hopitaux-jura.fr</v>
      </c>
      <c r="K16" s="170" t="str">
        <f>VLOOKUP(Tableau12[[#This Row],[Colonne1]],Tableau124[#All],10,FALSE)</f>
        <v>03.84.35.60.40 (secrétariat du service)</v>
      </c>
      <c r="L16" s="335" t="str">
        <f>VLOOKUP(Tableau12[[#This Row],[Colonne1]],Tableau124[#All],11,FALSE)</f>
        <v>https://hopitaux-jura.fr/</v>
      </c>
      <c r="M16" s="257" t="str">
        <f>VLOOKUP(Tableau12[[#This Row],[Colonne1]],Tableau124[#All],12,FALSE)</f>
        <v xml:space="preserve"> </v>
      </c>
      <c r="N16" s="97" t="str">
        <f>VLOOKUP(Tableau12[[#This Row],[Colonne1]],Tableau124[#All],13,FALSE)</f>
        <v>- intervention auprès d'un public mineur et majeur ;
- lits installés au sein d'une même unité ; 
- unité de médecine 1 (gastro-entérologie)</v>
      </c>
    </row>
    <row r="17" spans="1:14" ht="86.45" customHeight="1">
      <c r="B17" s="164">
        <v>135</v>
      </c>
      <c r="C17" s="222" t="str">
        <f>VLOOKUP(Tableau12[[#This Row],[Colonne1]],Tableau124[#All],2,FALSE)</f>
        <v>Jura (39)</v>
      </c>
      <c r="D17" s="222" t="str">
        <f>VLOOKUP(Tableau12[[#This Row],[Colonne1]],Tableau124[#All],3,FALSE)</f>
        <v>Lons Le Saunier</v>
      </c>
      <c r="E17" s="222" t="str">
        <f>VLOOKUP(Tableau12[[#This Row],[Colonne1]],Tableau124[#All],4,FALSE)</f>
        <v>39000</v>
      </c>
      <c r="F17" s="222" t="str">
        <f>VLOOKUP(Tableau12[[#This Row],[Colonne1]],Tableau124[#All],5,FALSE)</f>
        <v>Maison d’arrêt de Lons-le-Saunier, 2 rue de la Chevalerie</v>
      </c>
      <c r="G17" s="222" t="str">
        <f>VLOOKUP(Tableau12[[#This Row],[Colonne1]],Tableau124[#All],6,FALSE)</f>
        <v>Unité sanitaire en milieu pénitentiaire</v>
      </c>
      <c r="H17" s="223" t="str">
        <f>VLOOKUP(Tableau12[[#This Row],[Colonne1]],Tableau124[#All],7,FALSE)</f>
        <v>Centre Hospitalier de Lons le Saunier</v>
      </c>
      <c r="I17" s="222" t="str">
        <f>VLOOKUP(Tableau12[[#This Row],[Colonne1]],Tableau124[#All],8,FALSE)</f>
        <v>Public</v>
      </c>
      <c r="J17" s="100" t="str">
        <f>VLOOKUP(Tableau12[[#This Row],[Colonne1]],Tableau124[#All],9,FALSE)</f>
        <v>direction.generale@hopitaux-jura.fr</v>
      </c>
      <c r="K17" s="596" t="str">
        <f>VLOOKUP(Tableau12[[#This Row],[Colonne1]],Tableau124[#All],10,FALSE)</f>
        <v>03.84.25.49.63</v>
      </c>
      <c r="L17" s="362" t="str">
        <f>VLOOKUP(Tableau12[[#This Row],[Colonne1]],Tableau124[#All],11,FALSE)</f>
        <v>https://hopitaux-jura.fr/</v>
      </c>
      <c r="M17" s="66" t="str">
        <f>VLOOKUP(Tableau12[[#This Row],[Colonne1]],Tableau124[#All],12,FALSE)</f>
        <v xml:space="preserve"> </v>
      </c>
      <c r="N17" s="602" t="str">
        <f>VLOOKUP(Tableau12[[#This Row],[Colonne1]],Tableau124[#All],13,FALSE)</f>
        <v>- unité de consultations et de soins ambulatoires (UCSA) ;
- intervention de niveau 1 (consultations, prestations et activités ambulatoires).</v>
      </c>
    </row>
    <row r="18" spans="1:14" ht="86.45" customHeight="1">
      <c r="B18" s="164">
        <v>122</v>
      </c>
      <c r="C18" s="111" t="str">
        <f>VLOOKUP(Tableau12[[#This Row],[Colonne1]],Tableau124[#All],2,FALSE)</f>
        <v>Jura (39)</v>
      </c>
      <c r="D18" s="111" t="str">
        <f>VLOOKUP(Tableau12[[#This Row],[Colonne1]],Tableau124[#All],3,FALSE)</f>
        <v>Dole</v>
      </c>
      <c r="E18" s="111" t="str">
        <f>VLOOKUP(Tableau12[[#This Row],[Colonne1]],Tableau124[#All],4,FALSE)</f>
        <v>39100</v>
      </c>
      <c r="F18" s="111" t="str">
        <f>VLOOKUP(Tableau12[[#This Row],[Colonne1]],Tableau124[#All],5,FALSE)</f>
        <v>CONSULTATION DE TABACOLOGIE, 73 Av. Léon Jouhaux
UTEP
CENTRE LOUIS PASTEUR</v>
      </c>
      <c r="G18" s="111" t="str">
        <f>VLOOKUP(Tableau12[[#This Row],[Colonne1]],Tableau124[#All],6,FALSE)</f>
        <v>Consultations Hospitalières externes d'addictologie</v>
      </c>
      <c r="H18" s="111" t="str">
        <f>VLOOKUP(Tableau12[[#This Row],[Colonne1]],Tableau124[#All],7,FALSE)</f>
        <v>CENTRE HOSPITALIER LOUIS PASTEUR</v>
      </c>
      <c r="I18" s="111" t="str">
        <f>VLOOKUP(Tableau12[[#This Row],[Colonne1]],Tableau124[#All],8,FALSE)</f>
        <v>Public</v>
      </c>
      <c r="J18" s="140" t="str">
        <f>VLOOKUP(Tableau12[[#This Row],[Colonne1]],Tableau124[#All],9,FALSE)</f>
        <v xml:space="preserve">UTEP.Secretariat@ch-dole.fr / UTEP.Infirmiere@ch-dole.fr </v>
      </c>
      <c r="K18" s="141" t="str">
        <f>VLOOKUP(Tableau12[[#This Row],[Colonne1]],Tableau124[#All],10,FALSE)</f>
        <v>03 84 79 68 55</v>
      </c>
      <c r="L18" s="312" t="str">
        <f>VLOOKUP(Tableau12[[#This Row],[Colonne1]],Tableau124[#All],11,FALSE)</f>
        <v>https://www.ch-dole.fr</v>
      </c>
      <c r="M18" s="246" t="str">
        <f>VLOOKUP(Tableau12[[#This Row],[Colonne1]],Tableau124[#All],12,FALSE)</f>
        <v>Lundi au vendredi : 9h à 17h possible sur le CSAPA</v>
      </c>
      <c r="N18" s="136" t="str">
        <f>VLOOKUP(Tableau12[[#This Row],[Colonne1]],Tableau124[#All],13,FALSE)</f>
        <v xml:space="preserve">Intervention auprès de public majeurs </v>
      </c>
    </row>
    <row r="19" spans="1:14" ht="86.45" customHeight="1">
      <c r="B19" s="164">
        <v>125</v>
      </c>
      <c r="C19" s="96" t="str">
        <f>VLOOKUP(Tableau12[[#This Row],[Colonne1]],Tableau124[#All],2,FALSE)</f>
        <v>Jura (39)</v>
      </c>
      <c r="D19" s="96" t="str">
        <f>VLOOKUP(Tableau12[[#This Row],[Colonne1]],Tableau124[#All],3,FALSE)</f>
        <v>Dole</v>
      </c>
      <c r="E19" s="96" t="str">
        <f>VLOOKUP(Tableau12[[#This Row],[Colonne1]],Tableau124[#All],4,FALSE)</f>
        <v>39100</v>
      </c>
      <c r="F19" s="96" t="str">
        <f>VLOOKUP(Tableau12[[#This Row],[Colonne1]],Tableau124[#All],5,FALSE)</f>
        <v>SERVICE DE NEUROLOGIE
3ème ETAGE
CH LOUIS PASTEUR</v>
      </c>
      <c r="G19" s="96" t="str">
        <f>VLOOKUP(Tableau12[[#This Row],[Colonne1]],Tableau124[#All],6,FALSE)</f>
        <v>Sevrage simple</v>
      </c>
      <c r="H19" s="96" t="str">
        <f>VLOOKUP(Tableau12[[#This Row],[Colonne1]],Tableau124[#All],7,FALSE)</f>
        <v>Centre hospitalier Louis Pasteur</v>
      </c>
      <c r="I19" s="96" t="str">
        <f>VLOOKUP(Tableau12[[#This Row],[Colonne1]],Tableau124[#All],8,FALSE)</f>
        <v>Public</v>
      </c>
      <c r="J19" s="143" t="str">
        <f>VLOOKUP(Tableau12[[#This Row],[Colonne1]],Tableau124[#All],9,FALSE)</f>
        <v>communication@ch-dole.fr</v>
      </c>
      <c r="K19" s="170" t="str">
        <f>VLOOKUP(Tableau12[[#This Row],[Colonne1]],Tableau124[#All],10,FALSE)</f>
        <v>03 84 79 80 65</v>
      </c>
      <c r="L19" s="335" t="str">
        <f>VLOOKUP(Tableau12[[#This Row],[Colonne1]],Tableau124[#All],11,FALSE)</f>
        <v>https://www.ch-dole.fr</v>
      </c>
      <c r="M19" s="257" t="str">
        <f>VLOOKUP(Tableau12[[#This Row],[Colonne1]],Tableau124[#All],12,FALSE)</f>
        <v xml:space="preserve">  </v>
      </c>
      <c r="N19" s="97" t="str">
        <f>VLOOKUP(Tableau12[[#This Row],[Colonne1]],Tableau124[#All],13,FALSE)</f>
        <v>- intervention auprès d'un public majeur ; 
- unité neurologique</v>
      </c>
    </row>
    <row r="20" spans="1:14" ht="86.45" customHeight="1">
      <c r="B20" s="164">
        <v>124</v>
      </c>
      <c r="C20" s="126" t="str">
        <f>VLOOKUP(Tableau12[[#This Row],[Colonne1]],Tableau124[#All],2,FALSE)</f>
        <v>Jura (39)</v>
      </c>
      <c r="D20" s="126" t="str">
        <f>VLOOKUP(Tableau12[[#This Row],[Colonne1]],Tableau124[#All],3,FALSE)</f>
        <v>Dole</v>
      </c>
      <c r="E20" s="126" t="str">
        <f>VLOOKUP(Tableau12[[#This Row],[Colonne1]],Tableau124[#All],4,FALSE)</f>
        <v>39100</v>
      </c>
      <c r="F20" s="128" t="str">
        <f>VLOOKUP(Tableau12[[#This Row],[Colonne1]],Tableau124[#All],5,FALSE)</f>
        <v>CHS Saint-Ylie Jura, 120 route nationale, Dans plusieurs services</v>
      </c>
      <c r="G20" s="128" t="str">
        <f>VLOOKUP(Tableau12[[#This Row],[Colonne1]],Tableau124[#All],6,FALSE)</f>
        <v>ELSA</v>
      </c>
      <c r="H20" s="126" t="str">
        <f>VLOOKUP(Tableau12[[#This Row],[Colonne1]],Tableau124[#All],7,FALSE)</f>
        <v>CHS Saint-Ylie Jura</v>
      </c>
      <c r="I20" s="126" t="str">
        <f>VLOOKUP(Tableau12[[#This Row],[Colonne1]],Tableau124[#All],8,FALSE)</f>
        <v>Public</v>
      </c>
      <c r="J20" s="65" t="str">
        <f>VLOOKUP(Tableau12[[#This Row],[Colonne1]],Tableau124[#All],9,FALSE)</f>
        <v>addicto@chsjura.fr</v>
      </c>
      <c r="K20" s="169" t="str">
        <f>VLOOKUP(Tableau12[[#This Row],[Colonne1]],Tableau124[#All],10,FALSE)</f>
        <v>06 43 31 18 99</v>
      </c>
      <c r="L20" s="325" t="str">
        <f>VLOOKUP(Tableau12[[#This Row],[Colonne1]],Tableau124[#All],11,FALSE)</f>
        <v xml:space="preserve"> </v>
      </c>
      <c r="M20" s="257" t="str">
        <f>VLOOKUP(Tableau12[[#This Row],[Colonne1]],Tableau124[#All],12,FALSE)</f>
        <v xml:space="preserve">  </v>
      </c>
      <c r="N20" s="64" t="str">
        <f>VLOOKUP(Tableau12[[#This Row],[Colonne1]],Tableau124[#All],13,FALSE)</f>
        <v>- intervention auprès de public majeur ; 
- intervention dans les services du CHS, services du CH Louis Pasteur de Dole Jura</v>
      </c>
    </row>
    <row r="21" spans="1:14" ht="86.45" customHeight="1">
      <c r="B21" s="164">
        <v>127</v>
      </c>
      <c r="C21" s="96" t="str">
        <f>VLOOKUP(Tableau12[[#This Row],[Colonne1]],Tableau124[#All],2,FALSE)</f>
        <v>Jura (39)</v>
      </c>
      <c r="D21" s="96" t="str">
        <f>VLOOKUP(Tableau12[[#This Row],[Colonne1]],Tableau124[#All],3,FALSE)</f>
        <v>Dole</v>
      </c>
      <c r="E21" s="96" t="str">
        <f>VLOOKUP(Tableau12[[#This Row],[Colonne1]],Tableau124[#All],4,FALSE)</f>
        <v>39100</v>
      </c>
      <c r="F21" s="96" t="str">
        <f>VLOOKUP(Tableau12[[#This Row],[Colonne1]],Tableau124[#All],5,FALSE)</f>
        <v>CHS Saint-Ylie Jura
URA "Les Hirondelles"
120 route Nationale</v>
      </c>
      <c r="G21" s="96" t="str">
        <f>VLOOKUP(Tableau12[[#This Row],[Colonne1]],Tableau124[#All],6,FALSE)</f>
        <v xml:space="preserve">Sevrage simple </v>
      </c>
      <c r="H21" s="96" t="str">
        <f>VLOOKUP(Tableau12[[#This Row],[Colonne1]],Tableau124[#All],7,FALSE)</f>
        <v>CHS Saint-Ylie Jura</v>
      </c>
      <c r="I21" s="96" t="str">
        <f>VLOOKUP(Tableau12[[#This Row],[Colonne1]],Tableau124[#All],8,FALSE)</f>
        <v>Public</v>
      </c>
      <c r="J21" s="365" t="str">
        <f>VLOOKUP(Tableau12[[#This Row],[Colonne1]],Tableau124[#All],9,FALSE)</f>
        <v>ura.addictologie@chsjura.fr</v>
      </c>
      <c r="K21" s="170" t="str">
        <f>VLOOKUP(Tableau12[[#This Row],[Colonne1]],Tableau124[#All],10,FALSE)</f>
        <v>03 84 82 81 44</v>
      </c>
      <c r="L21" s="257"/>
      <c r="M21" s="257" t="str">
        <f>VLOOKUP(Tableau12[[#This Row],[Colonne1]],Tableau124[#All],12,FALSE)</f>
        <v xml:space="preserve">   </v>
      </c>
      <c r="N21" s="97" t="str">
        <f>VLOOKUP(Tableau12[[#This Row],[Colonne1]],Tableau124[#All],13,FALSE)</f>
        <v xml:space="preserve">- intervention auprès de public majeur ; 
- accueille également des patients pour des sevrages simples </v>
      </c>
    </row>
    <row r="22" spans="1:14" ht="86.45" customHeight="1">
      <c r="B22" s="164">
        <v>126</v>
      </c>
      <c r="C22" s="125" t="str">
        <f>VLOOKUP(Tableau12[[#This Row],[Colonne1]],Tableau124[#All],2,FALSE)</f>
        <v>Jura (39)</v>
      </c>
      <c r="D22" s="125" t="str">
        <f>VLOOKUP(Tableau12[[#This Row],[Colonne1]],Tableau124[#All],3,FALSE)</f>
        <v>Dole</v>
      </c>
      <c r="E22" s="125" t="str">
        <f>VLOOKUP(Tableau12[[#This Row],[Colonne1]],Tableau124[#All],4,FALSE)</f>
        <v>39100</v>
      </c>
      <c r="F22" s="125" t="str">
        <f>VLOOKUP(Tableau12[[#This Row],[Colonne1]],Tableau124[#All],5,FALSE)</f>
        <v>CHS Saint-Ylie Jura
URA "Les Hirondelles"
120 Route Nationale</v>
      </c>
      <c r="G22" s="125" t="str">
        <f>VLOOKUP(Tableau12[[#This Row],[Colonne1]],Tableau124[#All],6,FALSE)</f>
        <v>Soins complexes</v>
      </c>
      <c r="H22" s="125" t="str">
        <f>VLOOKUP(Tableau12[[#This Row],[Colonne1]],Tableau124[#All],7,FALSE)</f>
        <v>CHS Saint-Ylie Jura</v>
      </c>
      <c r="I22" s="125" t="str">
        <f>VLOOKUP(Tableau12[[#This Row],[Colonne1]],Tableau124[#All],8,FALSE)</f>
        <v>Public</v>
      </c>
      <c r="J22" s="346" t="str">
        <f>VLOOKUP(Tableau12[[#This Row],[Colonne1]],Tableau124[#All],9,FALSE)</f>
        <v>ura.addictologie@chsjura.fr</v>
      </c>
      <c r="K22" s="595" t="str">
        <f>VLOOKUP(Tableau12[[#This Row],[Colonne1]],Tableau124[#All],10,FALSE)</f>
        <v>03 84 82 81 44</v>
      </c>
      <c r="L22" s="350" t="str">
        <f>VLOOKUP(Tableau12[[#This Row],[Colonne1]],Tableau124[#All],11,FALSE)</f>
        <v>www.chsjura.fr</v>
      </c>
      <c r="M22" s="257"/>
      <c r="N22" s="531" t="str">
        <f>VLOOKUP(Tableau12[[#This Row],[Colonne1]],Tableau124[#All],13,FALSE)</f>
        <v>- interventions auprès d'un public majeur ; 
- lits installés au sein d'une même unité ; 
- unité URA "Les Hirondelles"</v>
      </c>
    </row>
    <row r="23" spans="1:14" ht="86.45" customHeight="1">
      <c r="B23" s="164">
        <v>139</v>
      </c>
      <c r="C23" s="126" t="str">
        <f>VLOOKUP(Tableau12[[#This Row],[Colonne1]],Tableau124[#All],2,FALSE)</f>
        <v>Jura (39)</v>
      </c>
      <c r="D23" s="126" t="str">
        <f>VLOOKUP(Tableau12[[#This Row],[Colonne1]],Tableau124[#All],3,FALSE)</f>
        <v>Saint-Ylie Dole</v>
      </c>
      <c r="E23" s="126" t="str">
        <f>VLOOKUP(Tableau12[[#This Row],[Colonne1]],Tableau124[#All],4,FALSE)</f>
        <v>39108</v>
      </c>
      <c r="F23" s="128" t="str">
        <f>VLOOKUP(Tableau12[[#This Row],[Colonne1]],Tableau124[#All],5,FALSE)</f>
        <v>CHS Saint-Ylie Jura, 120 route nationale, Dans plusieurs services</v>
      </c>
      <c r="G23" s="128" t="str">
        <f>VLOOKUP(Tableau12[[#This Row],[Colonne1]],Tableau124[#All],6,FALSE)</f>
        <v>ELSA</v>
      </c>
      <c r="H23" s="126" t="str">
        <f>VLOOKUP(Tableau12[[#This Row],[Colonne1]],Tableau124[#All],7,FALSE)</f>
        <v>CHS Saint-Ylie Jura
Centre hospitalier spécialisé du Jura</v>
      </c>
      <c r="I23" s="126" t="str">
        <f>VLOOKUP(Tableau12[[#This Row],[Colonne1]],Tableau124[#All],8,FALSE)</f>
        <v>Public</v>
      </c>
      <c r="J23" s="65" t="str">
        <f>VLOOKUP(Tableau12[[#This Row],[Colonne1]],Tableau124[#All],9,FALSE)</f>
        <v>ura.addictologie@chsjura.fr</v>
      </c>
      <c r="K23" s="169" t="str">
        <f>VLOOKUP(Tableau12[[#This Row],[Colonne1]],Tableau124[#All],10,FALSE)</f>
        <v>06 43 31 18 99</v>
      </c>
      <c r="L23" s="327" t="str">
        <f>VLOOKUP(Tableau12[[#This Row],[Colonne1]],Tableau124[#All],11,FALSE)</f>
        <v>www.chsjura.fr</v>
      </c>
      <c r="M23" s="257" t="str">
        <f>VLOOKUP(Tableau12[[#This Row],[Colonne1]],Tableau124[#All],12,FALSE)</f>
        <v xml:space="preserve"> </v>
      </c>
      <c r="N23" s="64" t="str">
        <f>VLOOKUP(Tableau12[[#This Row],[Colonne1]],Tableau124[#All],13,FALSE)</f>
        <v>- intervention auprès de public majeur ; 
- intervention en URA et dans l'ensemble des services du CHS Saint-ylie Jura, au CHLP Dole
RQ: L'ELSA est rattaché au CSAPA de Dole lui même rattaché au CHS Saint-ylie Jura</v>
      </c>
    </row>
    <row r="24" spans="1:14" ht="86.45" customHeight="1">
      <c r="B24" s="164">
        <v>123</v>
      </c>
      <c r="C24" s="156" t="str">
        <f>VLOOKUP(Tableau12[[#This Row],[Colonne1]],Tableau124[#All],2,FALSE)</f>
        <v>Jura (39)</v>
      </c>
      <c r="D24" s="156" t="str">
        <f>VLOOKUP(Tableau12[[#This Row],[Colonne1]],Tableau124[#All],3,FALSE)</f>
        <v>Dole</v>
      </c>
      <c r="E24" s="156" t="str">
        <f>VLOOKUP(Tableau12[[#This Row],[Colonne1]],Tableau124[#All],4,FALSE)</f>
        <v>39100</v>
      </c>
      <c r="F24" s="156" t="str">
        <f>VLOOKUP(Tableau12[[#This Row],[Colonne1]],Tableau124[#All],5,FALSE)</f>
        <v>Maison des Associations, 9 rue Aristide Briand</v>
      </c>
      <c r="G24" s="156" t="str">
        <f>VLOOKUP(Tableau12[[#This Row],[Colonne1]],Tableau124[#All],6,FALSE)</f>
        <v>CSAPA</v>
      </c>
      <c r="H24" s="156" t="str">
        <f>VLOOKUP(Tableau12[[#This Row],[Colonne1]],Tableau124[#All],7,FALSE)</f>
        <v>CSAPA Briand Dole - Centre Hospitalier Spécialisé du Jura Saint-Ylie</v>
      </c>
      <c r="I24" s="156" t="str">
        <f>VLOOKUP(Tableau12[[#This Row],[Colonne1]],Tableau124[#All],8,FALSE)</f>
        <v>Public</v>
      </c>
      <c r="J24" s="102" t="str">
        <f>VLOOKUP(Tableau12[[#This Row],[Colonne1]],Tableau124[#All],9,FALSE)</f>
        <v>addicto.dole@chsjura.fr</v>
      </c>
      <c r="K24" s="103" t="str">
        <f>VLOOKUP(Tableau12[[#This Row],[Colonne1]],Tableau124[#All],10,FALSE)</f>
        <v>03.84.82.83.85</v>
      </c>
      <c r="L24" s="325" t="str">
        <f>VLOOKUP(Tableau12[[#This Row],[Colonne1]],Tableau124[#All],11,FALSE)</f>
        <v xml:space="preserve"> </v>
      </c>
      <c r="M24" s="105" t="str">
        <f>VLOOKUP(Tableau12[[#This Row],[Colonne1]],Tableau124[#All],12,FALSE)</f>
        <v>Du lundi au vendredi de 8h30 à 17h00</v>
      </c>
      <c r="N24" s="106" t="str">
        <f>VLOOKUP(Tableau12[[#This Row],[Colonne1]],Tableau124[#All],13,FALSE)</f>
        <v>- dispositifs de soin résidentiel sous forme d'appartement thérapeutique sur Dôle (Avenue Duhamel) ;
- intervention en milieu festif ; 
- mise à disposition de matériel de consommation à moindre risque ;
- présence d'une CJC</v>
      </c>
    </row>
    <row r="25" spans="1:14" ht="86.45" customHeight="1">
      <c r="B25" s="164">
        <v>121</v>
      </c>
      <c r="C25" s="212" t="str">
        <f>VLOOKUP(Tableau12[[#This Row],[Colonne1]],Tableau124[#All],2,FALSE)</f>
        <v>Jura (39)</v>
      </c>
      <c r="D25" s="212" t="str">
        <f>VLOOKUP(Tableau12[[#This Row],[Colonne1]],Tableau124[#All],3,FALSE)</f>
        <v>Dole</v>
      </c>
      <c r="E25" s="212" t="str">
        <f>VLOOKUP(Tableau12[[#This Row],[Colonne1]],Tableau124[#All],4,FALSE)</f>
        <v>39100</v>
      </c>
      <c r="F25" s="212" t="str">
        <f>VLOOKUP(Tableau12[[#This Row],[Colonne1]],Tableau124[#All],5,FALSE)</f>
        <v>Maison des Associations, 9 rue Aristide Briand</v>
      </c>
      <c r="G25" s="212" t="str">
        <f>VLOOKUP(Tableau12[[#This Row],[Colonne1]],Tableau124[#All],6,FALSE)</f>
        <v>CJC</v>
      </c>
      <c r="H25" s="212" t="str">
        <f>VLOOKUP(Tableau12[[#This Row],[Colonne1]],Tableau124[#All],7,FALSE)</f>
        <v>CSAPA Briand Dole - Centre Hospitalier Spécialisé du Jura Saint-Ylie</v>
      </c>
      <c r="I25" s="212" t="str">
        <f>VLOOKUP(Tableau12[[#This Row],[Colonne1]],Tableau124[#All],8,FALSE)</f>
        <v>Public</v>
      </c>
      <c r="J25" s="93" t="str">
        <f>VLOOKUP(Tableau12[[#This Row],[Colonne1]],Tableau124[#All],9,FALSE)</f>
        <v>addicto.dole@chsjura.fr</v>
      </c>
      <c r="K25" s="94" t="str">
        <f>VLOOKUP(Tableau12[[#This Row],[Colonne1]],Tableau124[#All],10,FALSE)</f>
        <v>03.84.82.83.85</v>
      </c>
      <c r="L25" s="325" t="str">
        <f>VLOOKUP(Tableau12[[#This Row],[Colonne1]],Tableau124[#All],11,FALSE)</f>
        <v xml:space="preserve"> </v>
      </c>
      <c r="M25" s="264" t="str">
        <f>VLOOKUP(Tableau12[[#This Row],[Colonne1]],Tableau124[#All],12,FALSE)</f>
        <v>Mercredi : 8h30 à 17h
Permanence à la Maison des Adolescents Jur'Ado : tous les mercredis de 14h à 15h30</v>
      </c>
      <c r="N25" s="95" t="str">
        <f>VLOOKUP(Tableau12[[#This Row],[Colonne1]],Tableau124[#All],13,FALSE)</f>
        <v xml:space="preserve">- Accueil des familles ; 
- Orientation avec et sans rendez-vous ;
- CJC accessible à la famille et l'entourage ; 
- locaux identiques à ceux du CSAPA. </v>
      </c>
    </row>
    <row r="26" spans="1:14" ht="86.45" customHeight="1">
      <c r="B26" s="164">
        <v>132</v>
      </c>
      <c r="C26" s="156" t="str">
        <f>VLOOKUP(Tableau12[[#This Row],[Colonne1]],Tableau124[#All],2,FALSE)</f>
        <v>Jura (39)</v>
      </c>
      <c r="D26" s="156" t="str">
        <f>VLOOKUP(Tableau12[[#This Row],[Colonne1]],Tableau124[#All],3,FALSE)</f>
        <v>Lons Le Saunier</v>
      </c>
      <c r="E26" s="156" t="str">
        <f>VLOOKUP(Tableau12[[#This Row],[Colonne1]],Tableau124[#All],4,FALSE)</f>
        <v>39000</v>
      </c>
      <c r="F26" s="156" t="str">
        <f>VLOOKUP(Tableau12[[#This Row],[Colonne1]],Tableau124[#All],5,FALSE)</f>
        <v>15 Av. d'Offenbourg</v>
      </c>
      <c r="G26" s="156" t="str">
        <f>VLOOKUP(Tableau12[[#This Row],[Colonne1]],Tableau124[#All],6,FALSE)</f>
        <v>CSAPA</v>
      </c>
      <c r="H26" s="156" t="str">
        <f>VLOOKUP(Tableau12[[#This Row],[Colonne1]],Tableau124[#All],7,FALSE)</f>
        <v>CSAPA Oppelia Passerelle 39</v>
      </c>
      <c r="I26" s="156" t="str">
        <f>VLOOKUP(Tableau12[[#This Row],[Colonne1]],Tableau124[#All],8,FALSE)</f>
        <v>Associatif</v>
      </c>
      <c r="J26" s="86" t="str">
        <f>VLOOKUP(Tableau12[[#This Row],[Colonne1]],Tableau124[#All],9,FALSE)</f>
        <v>contactp39@oppelia.fr</v>
      </c>
      <c r="K26" s="594" t="str">
        <f>VLOOKUP(Tableau12[[#This Row],[Colonne1]],Tableau124[#All],10,FALSE)</f>
        <v>03 84 24 66 83</v>
      </c>
      <c r="L26" s="318" t="str">
        <f>VLOOKUP(Tableau12[[#This Row],[Colonne1]],Tableau124[#All],11,FALSE)</f>
        <v>https://www.oppelia.fr/etablissement/passerelle-39-lons-le-saunier/</v>
      </c>
      <c r="M26" s="101" t="str">
        <f>VLOOKUP(Tableau12[[#This Row],[Colonne1]],Tableau124[#All],12,FALSE)</f>
        <v>Lundi , Mercredi: 9h00 - 18h00
Mardi: 9h00 - 20h00
jeudi : 13h30 -18h00
Vendredi: 9h00 - 17h30
Secrétariat: tous les jours de 9h00 à 12h30 et de 13h30 à 17h00 (sauf le jeudi matin)</v>
      </c>
      <c r="N26" s="90" t="str">
        <f>VLOOKUP(Tableau12[[#This Row],[Colonne1]],Tableau124[#All],13,FALSE)</f>
        <v>- suivi médico-psycho-social : accueil, entretiens, consultations ; 
- mise à disposition de matériel de consommation à moindre risque ;
- proposition de test rapide d'orientation diagnostic (TROD) ; 
- dispositifs anti-overdose à disposition ; 
- présence d'une CJC; 
- présence d'une équipe mobile.</v>
      </c>
    </row>
    <row r="27" spans="1:14" ht="86.45" customHeight="1">
      <c r="B27" s="164">
        <v>253</v>
      </c>
      <c r="C27" s="383" t="str">
        <f>VLOOKUP(Tableau12[[#This Row],[Colonne1]],Tableau124[#All],2,FALSE)</f>
        <v>Jura (39)</v>
      </c>
      <c r="D27" s="383" t="str">
        <f>VLOOKUP(Tableau12[[#This Row],[Colonne1]],Tableau124[#All],3,FALSE)</f>
        <v>Lons Le Saunier</v>
      </c>
      <c r="E27" s="383">
        <f>VLOOKUP(Tableau12[[#This Row],[Colonne1]],Tableau124[#All],4,FALSE)</f>
        <v>39000</v>
      </c>
      <c r="F27" s="383" t="str">
        <f>VLOOKUP(Tableau12[[#This Row],[Colonne1]],Tableau124[#All],5,FALSE)</f>
        <v>15 avenue Offenbourg</v>
      </c>
      <c r="G27" s="383" t="str">
        <f>VLOOKUP(Tableau12[[#This Row],[Colonne1]],Tableau124[#All],6,FALSE)</f>
        <v>Equipe mobile CSAPA</v>
      </c>
      <c r="H27" s="383" t="str">
        <f>VLOOKUP(Tableau12[[#This Row],[Colonne1]],Tableau124[#All],7,FALSE)</f>
        <v xml:space="preserve">CSAPA Oppélia Passerelle 39 </v>
      </c>
      <c r="I27" s="383" t="str">
        <f>VLOOKUP(Tableau12[[#This Row],[Colonne1]],Tableau124[#All],8,FALSE)</f>
        <v xml:space="preserve">Associatif </v>
      </c>
      <c r="J27" s="592" t="str">
        <f>VLOOKUP(Tableau12[[#This Row],[Colonne1]],Tableau124[#All],9,FALSE)</f>
        <v>contactp39@oppelia.fr</v>
      </c>
      <c r="K27" s="594" t="str">
        <f>VLOOKUP(Tableau12[[#This Row],[Colonne1]],Tableau124[#All],10,FALSE)</f>
        <v>07 56 30 12 96</v>
      </c>
      <c r="L27" s="597" t="str">
        <f>VLOOKUP(Tableau12[[#This Row],[Colonne1]],Tableau124[#All],11,FALSE)</f>
        <v xml:space="preserve">https://www.oppelia.fr/structure/passerelle-39/ </v>
      </c>
      <c r="M27" s="598" t="str">
        <f>VLOOKUP(Tableau12[[#This Row],[Colonne1]],Tableau124[#All],12,FALSE)</f>
        <v xml:space="preserve">les lundis de 9h à 18h00, mardis de 9h00 à13h00 et vendredis de 9 h00 à17h 00
</v>
      </c>
      <c r="N27" s="601" t="str">
        <f>VLOOKUP(Tableau12[[#This Row],[Colonne1]],Tableau124[#All],13,FALSE)</f>
        <v>Le périmètre d’intervention est le département du Jura. L’équipe mobile peut se mobiliser à la demande des usagers ou de professionnels en lien avec des usagers principalement lorsque ceux-ci sont éloignés des dispositifs existants géographiquement ou qu’ils rencontrent des difficultés pour s’y rendre.
En dehors de ces horaires les personnes peuvent contacter le secrétariat d’Oppelia Passerelle39 au 03 84 24 66 83 qui est ouvert du lundi au vendredi de 9h00 à 17h00.</v>
      </c>
    </row>
    <row r="28" spans="1:14" s="47" customFormat="1" ht="86.45" customHeight="1">
      <c r="A28" s="200"/>
      <c r="B28" s="164">
        <v>136</v>
      </c>
      <c r="C28" s="221" t="str">
        <f>VLOOKUP(Tableau12[[#This Row],[Colonne1]],Tableau124[#All],2,FALSE)</f>
        <v>Jura (39)</v>
      </c>
      <c r="D28" s="221" t="str">
        <f>VLOOKUP(Tableau12[[#This Row],[Colonne1]],Tableau124[#All],3,FALSE)</f>
        <v xml:space="preserve">Morez - Haut de Bienne </v>
      </c>
      <c r="E28" s="221">
        <f>VLOOKUP(Tableau12[[#This Row],[Colonne1]],Tableau124[#All],4,FALSE)</f>
        <v>39400</v>
      </c>
      <c r="F28" s="221" t="str">
        <f>VLOOKUP(Tableau12[[#This Row],[Colonne1]],Tableau124[#All],5,FALSE)</f>
        <v>23 avenue de la Libération</v>
      </c>
      <c r="G28" s="156" t="str">
        <f>VLOOKUP(Tableau12[[#This Row],[Colonne1]],Tableau124[#All],6,FALSE)</f>
        <v>CSAPA (consultations avancées)</v>
      </c>
      <c r="H28" s="156" t="str">
        <f>VLOOKUP(Tableau12[[#This Row],[Colonne1]],Tableau124[#All],7,FALSE)</f>
        <v>CSAPA Oppelia Passerelle 39 - consultations avancées</v>
      </c>
      <c r="I28" s="156" t="str">
        <f>VLOOKUP(Tableau12[[#This Row],[Colonne1]],Tableau124[#All],8,FALSE)</f>
        <v>Associatif</v>
      </c>
      <c r="J28" s="86" t="str">
        <f>VLOOKUP(Tableau12[[#This Row],[Colonne1]],Tableau124[#All],9,FALSE)</f>
        <v>contactp39@oppelia.fr</v>
      </c>
      <c r="K28" s="594" t="str">
        <f>VLOOKUP(Tableau12[[#This Row],[Colonne1]],Tableau124[#All],10,FALSE)</f>
        <v>04 84 24 66 83</v>
      </c>
      <c r="L28" s="318" t="str">
        <f>VLOOKUP(Tableau12[[#This Row],[Colonne1]],Tableau124[#All],11,FALSE)</f>
        <v>www.oppelia.fr</v>
      </c>
      <c r="M28" s="101" t="str">
        <f>VLOOKUP(Tableau12[[#This Row],[Colonne1]],Tableau124[#All],12,FALSE)</f>
        <v>Le premier et troisième jeudi de chaque mois, de 14h00 à 18h00 (appeler en amont)</v>
      </c>
      <c r="N28" s="603" t="str">
        <f>VLOOKUP(Tableau12[[#This Row],[Colonne1]],Tableau124[#All],13,FALSE)</f>
        <v>Réalisation de consultations avancées</v>
      </c>
    </row>
    <row r="29" spans="1:14" ht="86.45" customHeight="1">
      <c r="B29" s="164">
        <v>138</v>
      </c>
      <c r="C29" s="156" t="str">
        <f>VLOOKUP(Tableau12[[#This Row],[Colonne1]],Tableau124[#All],2,FALSE)</f>
        <v>Jura (39)</v>
      </c>
      <c r="D29" s="156" t="str">
        <f>VLOOKUP(Tableau12[[#This Row],[Colonne1]],Tableau124[#All],3,FALSE)</f>
        <v>Saint-Claude</v>
      </c>
      <c r="E29" s="156">
        <f>VLOOKUP(Tableau12[[#This Row],[Colonne1]],Tableau124[#All],4,FALSE)</f>
        <v>39200</v>
      </c>
      <c r="F29" s="156" t="str">
        <f>VLOOKUP(Tableau12[[#This Row],[Colonne1]],Tableau124[#All],5,FALSE)</f>
        <v xml:space="preserve"> Centre de Périnatalité de Proximité de Saint-Claude, 2 Rue de l'Hôpital</v>
      </c>
      <c r="G29" s="156" t="str">
        <f>VLOOKUP(Tableau12[[#This Row],[Colonne1]],Tableau124[#All],6,FALSE)</f>
        <v>CSAPA (consultations avancées)</v>
      </c>
      <c r="H29" s="156" t="str">
        <f>VLOOKUP(Tableau12[[#This Row],[Colonne1]],Tableau124[#All],7,FALSE)</f>
        <v>CSAPA - Oppélia39 - consultations avancées - Centre de Périnatalité de Proximité de Saint-Claude</v>
      </c>
      <c r="I29" s="156" t="str">
        <f>VLOOKUP(Tableau12[[#This Row],[Colonne1]],Tableau124[#All],8,FALSE)</f>
        <v>Associatif</v>
      </c>
      <c r="J29" s="102" t="str">
        <f>VLOOKUP(Tableau12[[#This Row],[Colonne1]],Tableau124[#All],9,FALSE)</f>
        <v>contactp39@oppelia.fr</v>
      </c>
      <c r="K29" s="103" t="str">
        <f>VLOOKUP(Tableau12[[#This Row],[Colonne1]],Tableau124[#All],10,FALSE)</f>
        <v>03 84 24 66 83</v>
      </c>
      <c r="L29" s="317" t="str">
        <f>VLOOKUP(Tableau12[[#This Row],[Colonne1]],Tableau124[#All],11,FALSE)</f>
        <v>https://www.oppelia.fr/etablissement/passerelle-39-saint-claude/</v>
      </c>
      <c r="M29" s="221" t="str">
        <f>VLOOKUP(Tableau12[[#This Row],[Colonne1]],Tableau124[#All],12,FALSE)</f>
        <v>Lundi : 10h à 12h30 - 13h30 à 16h</v>
      </c>
      <c r="N29" s="89" t="str">
        <f>VLOOKUP(Tableau12[[#This Row],[Colonne1]],Tableau124[#All],13,FALSE)</f>
        <v>Réalisation de consultations avancées</v>
      </c>
    </row>
    <row r="30" spans="1:14" ht="86.45" customHeight="1">
      <c r="B30" s="164">
        <v>137</v>
      </c>
      <c r="C30" s="156" t="str">
        <f>VLOOKUP(Tableau12[[#This Row],[Colonne1]],Tableau124[#All],2,FALSE)</f>
        <v>Jura (39)</v>
      </c>
      <c r="D30" s="156" t="str">
        <f>VLOOKUP(Tableau12[[#This Row],[Colonne1]],Tableau124[#All],3,FALSE)</f>
        <v>Saint-Claude</v>
      </c>
      <c r="E30" s="156">
        <f>VLOOKUP(Tableau12[[#This Row],[Colonne1]],Tableau124[#All],4,FALSE)</f>
        <v>39200</v>
      </c>
      <c r="F30" s="156" t="str">
        <f>VLOOKUP(Tableau12[[#This Row],[Colonne1]],Tableau124[#All],5,FALSE)</f>
        <v>45 rue due Collège</v>
      </c>
      <c r="G30" s="156" t="str">
        <f>VLOOKUP(Tableau12[[#This Row],[Colonne1]],Tableau124[#All],6,FALSE)</f>
        <v>Antenne CSAPA</v>
      </c>
      <c r="H30" s="156" t="str">
        <f>VLOOKUP(Tableau12[[#This Row],[Colonne1]],Tableau124[#All],7,FALSE)</f>
        <v>CSAPA Oppelia Passerelle 39</v>
      </c>
      <c r="I30" s="156" t="str">
        <f>VLOOKUP(Tableau12[[#This Row],[Colonne1]],Tableau124[#All],8,FALSE)</f>
        <v>Associatif</v>
      </c>
      <c r="J30" s="102" t="str">
        <f>VLOOKUP(Tableau12[[#This Row],[Colonne1]],Tableau124[#All],9,FALSE)</f>
        <v>contactp39@oppelia.fr</v>
      </c>
      <c r="K30" s="88" t="str">
        <f>VLOOKUP(Tableau12[[#This Row],[Colonne1]],Tableau124[#All],10,FALSE)</f>
        <v>03 84 24 66 83</v>
      </c>
      <c r="L30" s="366" t="str">
        <f>VLOOKUP(Tableau12[[#This Row],[Colonne1]],Tableau124[#All],11,FALSE)</f>
        <v>https://www.oppelia.fr/etablissement/passerelle-39-lons-le-saunier/</v>
      </c>
      <c r="M30" s="221" t="str">
        <f>VLOOKUP(Tableau12[[#This Row],[Colonne1]],Tableau124[#All],12,FALSE)</f>
        <v>Lundi: 10h à 12h - 14h à 13h30-17h, Mardi: 9h à 12h - 13h à 18h, Mercredi 9h - 12h - 13h-17h30, jeudi 9h à 12h - 13h à 19h, vendredi: 10h à 12h - 13h à 17h30</v>
      </c>
      <c r="N30" s="107" t="str">
        <f>VLOOKUP(Tableau12[[#This Row],[Colonne1]],Tableau124[#All],13,FALSE)</f>
        <v>- suivi médico-psycho-social : accueil, entretiens, consultations ; 
- mise à disposition de matériel de consommation à moindre risque ;
- proposition de test rapide d'orientation diagnostic (TROD) ; 
- dispositifs anti-overdose à disposition ; 
- présence d'une CJC.</v>
      </c>
    </row>
    <row r="31" spans="1:14" ht="86.45" customHeight="1">
      <c r="B31" s="164">
        <v>141</v>
      </c>
      <c r="C31" s="212" t="str">
        <f>VLOOKUP(Tableau12[[#This Row],[Colonne1]],Tableau124[#All],2,FALSE)</f>
        <v>Jura (39)</v>
      </c>
      <c r="D31" s="212" t="str">
        <f>VLOOKUP(Tableau12[[#This Row],[Colonne1]],Tableau124[#All],3,FALSE)</f>
        <v>St Claude</v>
      </c>
      <c r="E31" s="212">
        <f>VLOOKUP(Tableau12[[#This Row],[Colonne1]],Tableau124[#All],4,FALSE)</f>
        <v>39200</v>
      </c>
      <c r="F31" s="212" t="str">
        <f>VLOOKUP(Tableau12[[#This Row],[Colonne1]],Tableau124[#All],5,FALSE)</f>
        <v>45 rue des prés (Saint-Claude)</v>
      </c>
      <c r="G31" s="212" t="str">
        <f>VLOOKUP(Tableau12[[#This Row],[Colonne1]],Tableau124[#All],6,FALSE)</f>
        <v>CJC</v>
      </c>
      <c r="H31" s="212" t="str">
        <f>VLOOKUP(Tableau12[[#This Row],[Colonne1]],Tableau124[#All],7,FALSE)</f>
        <v>CSAPA Oppelia Passerelle 39</v>
      </c>
      <c r="I31" s="212" t="str">
        <f>VLOOKUP(Tableau12[[#This Row],[Colonne1]],Tableau124[#All],8,FALSE)</f>
        <v>Associatif</v>
      </c>
      <c r="J31" s="93" t="str">
        <f>VLOOKUP(Tableau12[[#This Row],[Colonne1]],Tableau124[#All],9,FALSE)</f>
        <v>contactp39@oppelia.fr</v>
      </c>
      <c r="K31" s="94" t="str">
        <f>VLOOKUP(Tableau12[[#This Row],[Colonne1]],Tableau124[#All],10,FALSE)</f>
        <v>03 84 24 66 83</v>
      </c>
      <c r="L31" s="369" t="str">
        <f>VLOOKUP(Tableau12[[#This Row],[Colonne1]],Tableau124[#All],11,FALSE)</f>
        <v>https://www.oppelia.fr/etablissement/passerelle-39-saint-claude/</v>
      </c>
      <c r="M31" s="264" t="str">
        <f>VLOOKUP(Tableau12[[#This Row],[Colonne1]],Tableau124[#All],12,FALSE)</f>
        <v>Mercredi : 9h à 12h30 - 13h30 à 18h</v>
      </c>
      <c r="N31" s="95" t="str">
        <f>VLOOKUP(Tableau12[[#This Row],[Colonne1]],Tableau124[#All],13,FALSE)</f>
        <v>- Accueil des jeunes ; 
- Accueil de la famille et l'entourage ; 
- Orientation sur rendez-vous ;</v>
      </c>
    </row>
    <row r="32" spans="1:14" ht="86.45" customHeight="1">
      <c r="B32" s="164">
        <v>128</v>
      </c>
      <c r="C32" s="203" t="str">
        <f>VLOOKUP(Tableau12[[#This Row],[Colonne1]],Tableau124[#All],2,FALSE)</f>
        <v>Jura (39)</v>
      </c>
      <c r="D32" s="203" t="str">
        <f>VLOOKUP(Tableau12[[#This Row],[Colonne1]],Tableau124[#All],3,FALSE)</f>
        <v>Lons Le Saunier</v>
      </c>
      <c r="E32" s="203" t="str">
        <f>VLOOKUP(Tableau12[[#This Row],[Colonne1]],Tableau124[#All],4,FALSE)</f>
        <v>39000</v>
      </c>
      <c r="F32" s="203" t="str">
        <f>VLOOKUP(Tableau12[[#This Row],[Colonne1]],Tableau124[#All],5,FALSE)</f>
        <v>8 rue Jules Bury</v>
      </c>
      <c r="G32" s="203" t="str">
        <f>VLOOKUP(Tableau12[[#This Row],[Colonne1]],Tableau124[#All],6,FALSE)</f>
        <v>CAARUD de réduction des risques et des dommages à distance</v>
      </c>
      <c r="H32" s="203" t="str">
        <f>VLOOKUP(Tableau12[[#This Row],[Colonne1]],Tableau124[#All],7,FALSE)</f>
        <v>CAARUD Oppelia Passerelle 39</v>
      </c>
      <c r="I32" s="203" t="str">
        <f>VLOOKUP(Tableau12[[#This Row],[Colonne1]],Tableau124[#All],8,FALSE)</f>
        <v>Associatif</v>
      </c>
      <c r="J32" s="108" t="str">
        <f>VLOOKUP(Tableau12[[#This Row],[Colonne1]],Tableau124[#All],9,FALSE)</f>
        <v>contactp39@oppelia.fr</v>
      </c>
      <c r="K32" s="109" t="str">
        <f>VLOOKUP(Tableau12[[#This Row],[Colonne1]],Tableau124[#All],10,FALSE)</f>
        <v>03 84 24 66 83</v>
      </c>
      <c r="L32" s="359" t="str">
        <f>VLOOKUP(Tableau12[[#This Row],[Colonne1]],Tableau124[#All],11,FALSE)</f>
        <v>https://www.oppelia.fr/etablissement/passerelle-39-lons-le-saunier/</v>
      </c>
      <c r="M32" s="263" t="str">
        <f>VLOOKUP(Tableau12[[#This Row],[Colonne1]],Tableau124[#All],12,FALSE)</f>
        <v>Accueil fixe: mardi de 13h30 à 17h00, mercredi de 8h00 à 12h30, jeudi de 16h30 à 20h00</v>
      </c>
      <c r="N32" s="110" t="str">
        <f>VLOOKUP(Tableau12[[#This Row],[Colonne1]],Tableau124[#All],13,FALSE)</f>
        <v>- Permanences d'accueil ou accueil sur rendez-vous
- unité mobile pouvant servir de lieu d'accueil (déplacements sur tout le département du Jura) ; 
- programme d'échange de seringues ;
- intervention en maraude ; 
- mise à disposition de matériel de consommation à moindre risque ;
- proposition de test rapide d'orientation diagnostic (TROD) ; 
- dispositif TAPAJ
- intervention en milieu festif ;
- intervention en milieu pénitentier à la Maison d'arrêt de Lons-le-Saunier.</v>
      </c>
    </row>
    <row r="33" ht="86.45" customHeight="1"/>
    <row r="34" ht="86.45" customHeight="1"/>
    <row r="35" ht="86.45" customHeight="1"/>
    <row r="36" ht="86.45" customHeight="1"/>
    <row r="37" ht="86.45" customHeight="1"/>
    <row r="38" ht="86.45" customHeight="1"/>
    <row r="39" ht="86.45" customHeight="1"/>
    <row r="40" ht="86.45" customHeight="1"/>
    <row r="41" ht="86.45" customHeight="1"/>
    <row r="42" ht="86.45" customHeight="1"/>
  </sheetData>
  <mergeCells count="1">
    <mergeCell ref="C3:O3"/>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9BE1"/>
  </sheetPr>
  <dimension ref="A1:O31"/>
  <sheetViews>
    <sheetView zoomScale="58" zoomScaleNormal="40" workbookViewId="0">
      <selection activeCell="A16" sqref="A16:XFD20"/>
    </sheetView>
  </sheetViews>
  <sheetFormatPr baseColWidth="10" defaultColWidth="10.5703125" defaultRowHeight="15"/>
  <cols>
    <col min="1" max="1" width="16.5703125" style="48" customWidth="1"/>
    <col min="2" max="2" width="13.28515625" style="1" customWidth="1"/>
    <col min="3" max="3" width="17.140625" style="1" customWidth="1"/>
    <col min="4" max="4" width="46.28515625" style="1" customWidth="1"/>
    <col min="5" max="5" width="24.140625" style="1" customWidth="1"/>
    <col min="6" max="6" width="21.42578125" style="1" customWidth="1"/>
    <col min="7" max="7" width="29.42578125" style="1" customWidth="1"/>
    <col min="8" max="8" width="24.28515625" style="1" customWidth="1"/>
    <col min="9" max="9" width="33.140625" style="1" customWidth="1"/>
    <col min="10" max="10" width="20.42578125" style="1" customWidth="1"/>
    <col min="11" max="11" width="33.140625" style="1" customWidth="1"/>
    <col min="12" max="12" width="23.42578125" style="1" customWidth="1"/>
    <col min="13" max="13" width="27.5703125" style="1" customWidth="1"/>
    <col min="14" max="14" width="35.7109375" style="1" customWidth="1"/>
    <col min="15" max="15" width="38.42578125" style="1" hidden="1" customWidth="1"/>
    <col min="16" max="16384" width="10.5703125" style="1"/>
  </cols>
  <sheetData>
    <row r="1" spans="1:15" ht="57.6" customHeight="1">
      <c r="B1" s="48"/>
      <c r="C1" s="48"/>
      <c r="D1" s="48"/>
      <c r="E1" s="48"/>
      <c r="F1" s="48"/>
      <c r="G1" s="48"/>
      <c r="H1" s="48"/>
      <c r="I1" s="48"/>
      <c r="J1" s="48"/>
      <c r="K1" s="48"/>
      <c r="L1" s="48"/>
      <c r="M1" s="48"/>
      <c r="N1" s="48"/>
    </row>
    <row r="3" spans="1:15" ht="18.75">
      <c r="C3" s="709" t="s">
        <v>768</v>
      </c>
      <c r="D3" s="709"/>
      <c r="E3" s="709"/>
      <c r="F3" s="709"/>
      <c r="G3" s="709"/>
      <c r="H3" s="709"/>
      <c r="I3" s="709"/>
      <c r="J3" s="709"/>
      <c r="K3" s="709"/>
      <c r="L3" s="709"/>
      <c r="M3" s="709"/>
      <c r="N3" s="709"/>
      <c r="O3" s="709"/>
    </row>
    <row r="5" spans="1:15" s="173" customFormat="1" ht="34.5" customHeight="1">
      <c r="A5" s="172"/>
      <c r="B5" s="173" t="s">
        <v>1078</v>
      </c>
      <c r="C5" s="60" t="s">
        <v>17</v>
      </c>
      <c r="D5" s="60" t="s">
        <v>18</v>
      </c>
      <c r="E5" s="60" t="s">
        <v>19</v>
      </c>
      <c r="F5" s="60" t="s">
        <v>20</v>
      </c>
      <c r="G5" s="60" t="s">
        <v>21</v>
      </c>
      <c r="H5" s="60" t="s">
        <v>22</v>
      </c>
      <c r="I5" s="60" t="s">
        <v>23</v>
      </c>
      <c r="J5" s="60" t="s">
        <v>24</v>
      </c>
      <c r="K5" s="60" t="s">
        <v>25</v>
      </c>
      <c r="L5" s="60" t="s">
        <v>26</v>
      </c>
      <c r="M5" s="60" t="s">
        <v>27</v>
      </c>
      <c r="N5" s="171" t="s">
        <v>28</v>
      </c>
    </row>
    <row r="6" spans="1:15" ht="86.45" customHeight="1">
      <c r="B6" s="164">
        <v>153</v>
      </c>
      <c r="C6" s="203" t="str">
        <f>VLOOKUP(Tableau8[[#This Row],[Colonne1]],Tableau124[#All],2,FALSE)</f>
        <v>Nièvre (58)</v>
      </c>
      <c r="D6" s="557" t="str">
        <f>VLOOKUP(Tableau8[[#This Row],[Colonne1]],Tableau124[#All],3,FALSE)</f>
        <v>Nevers</v>
      </c>
      <c r="E6" s="557" t="str">
        <f>VLOOKUP(Tableau8[[#This Row],[Colonne1]],Tableau124[#All],4,FALSE)</f>
        <v>58000</v>
      </c>
      <c r="F6" s="203" t="str">
        <f>VLOOKUP(Tableau8[[#This Row],[Colonne1]],Tableau124[#All],5,FALSE)</f>
        <v>9 Rue Gambetta</v>
      </c>
      <c r="G6" s="203" t="str">
        <f>VLOOKUP(Tableau8[[#This Row],[Colonne1]],Tableau124[#All],6,FALSE)</f>
        <v>CAARUD</v>
      </c>
      <c r="H6" s="604" t="str">
        <f>VLOOKUP(Tableau8[[#This Row],[Colonne1]],Tableau124[#All],7,FALSE)</f>
        <v>CAARUD DE NEVERS - Association Aides</v>
      </c>
      <c r="I6" s="557" t="str">
        <f>VLOOKUP(Tableau8[[#This Row],[Colonne1]],Tableau124[#All],8,FALSE)</f>
        <v>Associatif</v>
      </c>
      <c r="J6" s="361" t="str">
        <f>VLOOKUP(Tableau8[[#This Row],[Colonne1]],Tableau124[#All],9,FALSE)</f>
        <v>nevers@aides.org</v>
      </c>
      <c r="K6" s="240" t="str">
        <f>VLOOKUP(Tableau8[[#This Row],[Colonne1]],Tableau124[#All],10,FALSE)</f>
        <v>0386590948</v>
      </c>
      <c r="L6" s="361" t="str">
        <f>VLOOKUP(Tableau8[[#This Row],[Colonne1]],Tableau124[#All],11,FALSE)</f>
        <v>www.aides.org</v>
      </c>
      <c r="M6" s="263" t="str">
        <f>VLOOKUP(Tableau8[[#This Row],[Colonne1]],Tableau124[#All],12,FALSE)</f>
        <v>Lundi de 13:00 à 17:00
Mardi de 13:00 à 17:00
Jeudi de 9:00 à 12:00 et de 13:00 à 17:00</v>
      </c>
      <c r="N6" s="566" t="str">
        <f>VLOOKUP(Tableau8[[#This Row],[Colonne1]],Tableau124[#All],13,FALSE)</f>
        <v xml:space="preserve">- intervention en maraude ;
- programme d'échange de seringues </v>
      </c>
    </row>
    <row r="7" spans="1:15" ht="86.45" customHeight="1">
      <c r="B7" s="393">
        <v>16</v>
      </c>
      <c r="C7" s="400" t="str">
        <f>VLOOKUP(Tableau8[[#This Row],[Colonne1]],Tableau124[#All],2,FALSE)</f>
        <v>Côte-d’Or (21)</v>
      </c>
      <c r="D7" s="400" t="str">
        <f>VLOOKUP(Tableau8[[#This Row],[Colonne1]],Tableau124[#All],3,FALSE)</f>
        <v>Dijon</v>
      </c>
      <c r="E7" s="400" t="str">
        <f>VLOOKUP(Tableau8[[#This Row],[Colonne1]],Tableau124[#All],4,FALSE)</f>
        <v>21000</v>
      </c>
      <c r="F7" s="400" t="str">
        <f>VLOOKUP(Tableau8[[#This Row],[Colonne1]],Tableau124[#All],5,FALSE)</f>
        <v>9 Rue Févret</v>
      </c>
      <c r="G7" s="400" t="str">
        <f>VLOOKUP(Tableau8[[#This Row],[Colonne1]],Tableau124[#All],6,FALSE)</f>
        <v>CAARUD de réduction des risques et des dommages à distance</v>
      </c>
      <c r="H7" s="400" t="str">
        <f>VLOOKUP(Tableau8[[#This Row],[Colonne1]],Tableau124[#All],7,FALSE)</f>
        <v>Caarud le SPOT - SEDAP</v>
      </c>
      <c r="I7" s="400" t="str">
        <f>VLOOKUP(Tableau8[[#This Row],[Colonne1]],Tableau124[#All],8,FALSE)</f>
        <v>Associatif</v>
      </c>
      <c r="J7" s="401" t="str">
        <f>VLOOKUP(Tableau8[[#This Row],[Colonne1]],Tableau124[#All],9,FALSE)</f>
        <v>caarud@addictions-sedap.fr</v>
      </c>
      <c r="K7" s="400" t="str">
        <f>VLOOKUP(Tableau8[[#This Row],[Colonne1]],Tableau124[#All],10,FALSE)</f>
        <v>0688223918</v>
      </c>
      <c r="L7" s="401" t="str">
        <f>VLOOKUP(Tableau8[[#This Row],[Colonne1]],Tableau124[#All],11,FALSE)</f>
        <v>www.addictions-sedap.fr</v>
      </c>
      <c r="M7" s="402" t="str">
        <f>VLOOKUP(Tableau8[[#This Row],[Colonne1]],Tableau124[#All],12,FALSE)</f>
        <v>&gt; CAARUD : Lundi : de 10h30 à 14h ( accueil réservé aux femmes ) et de 14h à 17h00 ) ( Accueil mixte ) 
Mercredi : 10h30 à 17h
&gt; Intervention au CSAPA Belem : à la maison d'arrêt de DIJON deux mardis par mois de 14h à 16h
&gt; Permanence devant le CHRS Sadi Carnot deux mardis par mois de 16h30 à 18h30 avec le camping-car
&gt; Permanence au CHRS Machureau deux vendredis par mois de 14h à 16h</v>
      </c>
      <c r="N7" s="403" t="str">
        <f>VLOOKUP(Tableau8[[#This Row],[Colonne1]],Tableau124[#All],13,FALSE)</f>
        <v xml:space="preserve">- unité mobile pouvant servir de lieu d'accueil (déplacement en Côte-d-Or) ; 
- programme d'échange de seringues ;
- intervention en maraude ; 
- intervention en milieu festif ;
- intervention en milieu pénitentier à la Maison d'arrêt de Dijon. </v>
      </c>
    </row>
    <row r="8" spans="1:15" ht="86.45" customHeight="1">
      <c r="B8" s="164">
        <v>148</v>
      </c>
      <c r="C8" s="126" t="str">
        <f>VLOOKUP(Tableau8[[#This Row],[Colonne1]],Tableau124[#All],2,FALSE)</f>
        <v>Nièvre (58)</v>
      </c>
      <c r="D8" s="126" t="str">
        <f>VLOOKUP(Tableau8[[#This Row],[Colonne1]],Tableau124[#All],3,FALSE)</f>
        <v>Decize</v>
      </c>
      <c r="E8" s="126" t="str">
        <f>VLOOKUP(Tableau8[[#This Row],[Colonne1]],Tableau124[#All],4,FALSE)</f>
        <v>58300</v>
      </c>
      <c r="F8" s="128" t="str">
        <f>VLOOKUP(Tableau8[[#This Row],[Colonne1]],Tableau124[#All],5,FALSE)</f>
        <v>Centre Hospitalier 74 Route de Moulins, Dans plusieurs services</v>
      </c>
      <c r="G8" s="128" t="str">
        <f>VLOOKUP(Tableau8[[#This Row],[Colonne1]],Tableau124[#All],6,FALSE)</f>
        <v>ELSA</v>
      </c>
      <c r="H8" s="126" t="str">
        <f>VLOOKUP(Tableau8[[#This Row],[Colonne1]],Tableau124[#All],7,FALSE)</f>
        <v>CENTRE HOSPITALIER  DECIZE</v>
      </c>
      <c r="I8" s="126" t="str">
        <f>VLOOKUP(Tableau8[[#This Row],[Colonne1]],Tableau124[#All],8,FALSE)</f>
        <v>Public</v>
      </c>
      <c r="J8" s="327" t="str">
        <f>VLOOKUP(Tableau8[[#This Row],[Colonne1]],Tableau124[#All],9,FALSE)</f>
        <v>chde.ual@ght58.fr</v>
      </c>
      <c r="K8" s="126" t="str">
        <f>VLOOKUP(Tableau8[[#This Row],[Colonne1]],Tableau124[#All],10,FALSE)</f>
        <v>03 86 77 77 32</v>
      </c>
      <c r="L8" s="328" t="str">
        <f>VLOOKUP(Tableau8[[#This Row],[Colonne1]],Tableau124[#All],11,FALSE)</f>
        <v>www.ghtnievre.fr</v>
      </c>
      <c r="M8" s="257" t="str">
        <f>VLOOKUP(Tableau8[[#This Row],[Colonne1]],Tableau124[#All],12,FALSE)</f>
        <v xml:space="preserve"> </v>
      </c>
      <c r="N8" s="387" t="str">
        <f>VLOOKUP(Tableau8[[#This Row],[Colonne1]],Tableau124[#All],13,FALSE)</f>
        <v>- intervention auprès de public majeur ; 
- intervention dans les services de médecine - urgences - Centre de périnatalité de proximité - tous autres services demandeurs de l'établissement (SSR, surveillance continue, cardiologie, EHPAD...)</v>
      </c>
    </row>
    <row r="9" spans="1:15" ht="86.45" customHeight="1">
      <c r="B9" s="164">
        <v>146</v>
      </c>
      <c r="C9" s="111" t="str">
        <f>VLOOKUP(Tableau8[[#This Row],[Colonne1]],Tableau124[#All],2,FALSE)</f>
        <v>Nièvre (58)</v>
      </c>
      <c r="D9" s="111" t="str">
        <f>VLOOKUP(Tableau8[[#This Row],[Colonne1]],Tableau124[#All],3,FALSE)</f>
        <v>Decize</v>
      </c>
      <c r="E9" s="111" t="str">
        <f>VLOOKUP(Tableau8[[#This Row],[Colonne1]],Tableau124[#All],4,FALSE)</f>
        <v>58300</v>
      </c>
      <c r="F9" s="111" t="str">
        <f>VLOOKUP(Tableau8[[#This Row],[Colonne1]],Tableau124[#All],5,FALSE)</f>
        <v>Centre Hospitalier 74 Route de Moulins</v>
      </c>
      <c r="G9" s="111" t="str">
        <f>VLOOKUP(Tableau8[[#This Row],[Colonne1]],Tableau124[#All],6,FALSE)</f>
        <v>Consultations Hospitalières externes d'addictologie</v>
      </c>
      <c r="H9" s="111" t="str">
        <f>VLOOKUP(Tableau8[[#This Row],[Colonne1]],Tableau124[#All],7,FALSE)</f>
        <v>CENTRE HOSPITALIER  DECIZE</v>
      </c>
      <c r="I9" s="111" t="str">
        <f>VLOOKUP(Tableau8[[#This Row],[Colonne1]],Tableau124[#All],8,FALSE)</f>
        <v>Public</v>
      </c>
      <c r="J9" s="312" t="str">
        <f>VLOOKUP(Tableau8[[#This Row],[Colonne1]],Tableau124[#All],9,FALSE)</f>
        <v>chde.ual@ght58.fr</v>
      </c>
      <c r="K9" s="239" t="str">
        <f>VLOOKUP(Tableau8[[#This Row],[Colonne1]],Tableau124[#All],10,FALSE)</f>
        <v>03 86 77 77 32</v>
      </c>
      <c r="L9" s="312" t="str">
        <f>VLOOKUP(Tableau8[[#This Row],[Colonne1]],Tableau124[#All],11,FALSE)</f>
        <v>www.ghtnievre.fr</v>
      </c>
      <c r="M9" s="246" t="str">
        <f>VLOOKUP(Tableau8[[#This Row],[Colonne1]],Tableau124[#All],12,FALSE)</f>
        <v>Du lundi au vendredi de 9h à  17 h</v>
      </c>
      <c r="N9" s="424" t="str">
        <f>VLOOKUP(Tableau8[[#This Row],[Colonne1]],Tableau124[#All],13,FALSE)</f>
        <v>Intervention auprès de public majeurs</v>
      </c>
    </row>
    <row r="10" spans="1:15" ht="86.45" customHeight="1">
      <c r="B10" s="164">
        <v>149</v>
      </c>
      <c r="C10" s="96" t="str">
        <f>VLOOKUP(Tableau8[[#This Row],[Colonne1]],Tableau124[#All],2,FALSE)</f>
        <v>Nièvre (58)</v>
      </c>
      <c r="D10" s="96" t="str">
        <f>VLOOKUP(Tableau8[[#This Row],[Colonne1]],Tableau124[#All],3,FALSE)</f>
        <v>Decize</v>
      </c>
      <c r="E10" s="96">
        <f>VLOOKUP(Tableau8[[#This Row],[Colonne1]],Tableau124[#All],4,FALSE)</f>
        <v>58300</v>
      </c>
      <c r="F10" s="96" t="str">
        <f>VLOOKUP(Tableau8[[#This Row],[Colonne1]],Tableau124[#All],5,FALSE)</f>
        <v>Centre hospitalier - service de médecine D - 74 Route de Moulins</v>
      </c>
      <c r="G10" s="96" t="str">
        <f>VLOOKUP(Tableau8[[#This Row],[Colonne1]],Tableau124[#All],6,FALSE)</f>
        <v>Sevrage simple</v>
      </c>
      <c r="H10" s="96" t="str">
        <f>VLOOKUP(Tableau8[[#This Row],[Colonne1]],Tableau124[#All],7,FALSE)</f>
        <v>CENTRE HOSPITALIER  DECIZE</v>
      </c>
      <c r="I10" s="96" t="str">
        <f>VLOOKUP(Tableau8[[#This Row],[Colonne1]],Tableau124[#All],8,FALSE)</f>
        <v>Public</v>
      </c>
      <c r="J10" s="335" t="str">
        <f>VLOOKUP(Tableau8[[#This Row],[Colonne1]],Tableau124[#All],9,FALSE)</f>
        <v>ual@ch-decize.fr</v>
      </c>
      <c r="K10" s="96" t="str">
        <f>VLOOKUP(Tableau8[[#This Row],[Colonne1]],Tableau124[#All],10,FALSE)</f>
        <v>03 86 77 77 32</v>
      </c>
      <c r="L10" s="335" t="str">
        <f>VLOOKUP(Tableau8[[#This Row],[Colonne1]],Tableau124[#All],11,FALSE)</f>
        <v>www.ghtnievre.fr</v>
      </c>
      <c r="M10" s="257" t="str">
        <f>VLOOKUP(Tableau8[[#This Row],[Colonne1]],Tableau124[#All],12,FALSE)</f>
        <v xml:space="preserve"> </v>
      </c>
      <c r="N10" s="388" t="str">
        <f>VLOOKUP(Tableau8[[#This Row],[Colonne1]],Tableau124[#All],13,FALSE)</f>
        <v>- intervention auprès d'un public majeur ; 
- les lits sont intégrés dans le service de médecine à orientation gastroentérologique ; 
- unité de médecine D</v>
      </c>
    </row>
    <row r="11" spans="1:15" ht="86.45" customHeight="1">
      <c r="B11" s="164">
        <v>157</v>
      </c>
      <c r="C11" s="126" t="str">
        <f>VLOOKUP(Tableau8[[#This Row],[Colonne1]],Tableau124[#All],2,FALSE)</f>
        <v>Nièvre (58)</v>
      </c>
      <c r="D11" s="126" t="str">
        <f>VLOOKUP(Tableau8[[#This Row],[Colonne1]],Tableau124[#All],3,FALSE)</f>
        <v>Nevers</v>
      </c>
      <c r="E11" s="126" t="str">
        <f>VLOOKUP(Tableau8[[#This Row],[Colonne1]],Tableau124[#All],4,FALSE)</f>
        <v>58000</v>
      </c>
      <c r="F11" s="126" t="str">
        <f>VLOOKUP(Tableau8[[#This Row],[Colonne1]],Tableau124[#All],5,FALSE)</f>
        <v>Centre Hospitalier de l’Agglomération de Nevers, 1 avenue Patrick Guillot, Dans plusieurs services</v>
      </c>
      <c r="G11" s="128" t="str">
        <f>VLOOKUP(Tableau8[[#This Row],[Colonne1]],Tableau124[#All],6,FALSE)</f>
        <v>ELSA</v>
      </c>
      <c r="H11" s="126" t="str">
        <f>VLOOKUP(Tableau8[[#This Row],[Colonne1]],Tableau124[#All],7,FALSE)</f>
        <v>Centre Hospitalier de l’Agglomération de Nevers</v>
      </c>
      <c r="I11" s="126" t="str">
        <f>VLOOKUP(Tableau8[[#This Row],[Colonne1]],Tableau124[#All],8,FALSE)</f>
        <v>Public</v>
      </c>
      <c r="J11" s="327" t="str">
        <f>VLOOKUP(Tableau8[[#This Row],[Colonne1]],Tableau124[#All],9,FALSE)</f>
        <v>chan.addictologie@ght58.fr</v>
      </c>
      <c r="K11" s="210" t="str">
        <f>VLOOKUP(Tableau8[[#This Row],[Colonne1]],Tableau124[#All],10,FALSE)</f>
        <v>03 86 93 71 00</v>
      </c>
      <c r="L11" s="327" t="str">
        <f>VLOOKUP(Tableau8[[#This Row],[Colonne1]],Tableau124[#All],11,FALSE)</f>
        <v>www.ghtnievre.fr</v>
      </c>
      <c r="M11" s="257" t="str">
        <f>VLOOKUP(Tableau8[[#This Row],[Colonne1]],Tableau124[#All],12,FALSE)</f>
        <v xml:space="preserve"> </v>
      </c>
      <c r="N11" s="398" t="str">
        <f>VLOOKUP(Tableau8[[#This Row],[Colonne1]],Tableau124[#All],13,FALSE)</f>
        <v>Urgences, unité hospitalière de très courte durée
Hépato-gastro-entérologie, médecine infectieuse, chirurgie digestive, hôpital de jour
Cardiologie, urgences et soins intensifs de cardiologie, pneumologie
Néphrologie, hémodialyse, diabétologie, neurologie, VTH, médecine générale, hôpital de jour
Maternité
Intervention possible dans tous les services du CHAN</v>
      </c>
    </row>
    <row r="12" spans="1:15" ht="86.45" customHeight="1">
      <c r="B12" s="164">
        <v>155</v>
      </c>
      <c r="C12" s="111" t="str">
        <f>VLOOKUP(Tableau8[[#This Row],[Colonne1]],Tableau124[#All],2,FALSE)</f>
        <v>Nièvre (58)</v>
      </c>
      <c r="D12" s="111" t="str">
        <f>VLOOKUP(Tableau8[[#This Row],[Colonne1]],Tableau124[#All],3,FALSE)</f>
        <v>Nevers</v>
      </c>
      <c r="E12" s="111" t="str">
        <f>VLOOKUP(Tableau8[[#This Row],[Colonne1]],Tableau124[#All],4,FALSE)</f>
        <v>58000</v>
      </c>
      <c r="F12" s="111" t="str">
        <f>VLOOKUP(Tableau8[[#This Row],[Colonne1]],Tableau124[#All],5,FALSE)</f>
        <v>1 avenue Patrick Guillot</v>
      </c>
      <c r="G12" s="111" t="str">
        <f>VLOOKUP(Tableau8[[#This Row],[Colonne1]],Tableau124[#All],6,FALSE)</f>
        <v>Consultations Hospitalières externes d'addictologie</v>
      </c>
      <c r="H12" s="111" t="str">
        <f>VLOOKUP(Tableau8[[#This Row],[Colonne1]],Tableau124[#All],7,FALSE)</f>
        <v>Centre Hospitalier de l’Agglomération de Nevers</v>
      </c>
      <c r="I12" s="111" t="str">
        <f>VLOOKUP(Tableau8[[#This Row],[Colonne1]],Tableau124[#All],8,FALSE)</f>
        <v>Public</v>
      </c>
      <c r="J12" s="312" t="str">
        <f>VLOOKUP(Tableau8[[#This Row],[Colonne1]],Tableau124[#All],9,FALSE)</f>
        <v>chan.addictologie@ght58.fr</v>
      </c>
      <c r="K12" s="395" t="str">
        <f>VLOOKUP(Tableau8[[#This Row],[Colonne1]],Tableau124[#All],10,FALSE)</f>
        <v>03 86 93 71 00</v>
      </c>
      <c r="L12" s="311" t="str">
        <f>VLOOKUP(Tableau8[[#This Row],[Colonne1]],Tableau124[#All],11,FALSE)</f>
        <v>www.ghtnievre.fr</v>
      </c>
      <c r="M12" s="246" t="str">
        <f>VLOOKUP(Tableau8[[#This Row],[Colonne1]],Tableau124[#All],12,FALSE)</f>
        <v>Lundi au vendredi de 9h à 17h</v>
      </c>
      <c r="N12" s="386" t="str">
        <f>VLOOKUP(Tableau8[[#This Row],[Colonne1]],Tableau124[#All],13,FALSE)</f>
        <v xml:space="preserve">Intervention auprès de public majeurs </v>
      </c>
    </row>
    <row r="13" spans="1:15" ht="86.45" customHeight="1">
      <c r="B13" s="164">
        <v>158</v>
      </c>
      <c r="C13" s="96" t="str">
        <f>VLOOKUP(Tableau8[[#This Row],[Colonne1]],Tableau124[#All],2,FALSE)</f>
        <v>Nièvre (58)</v>
      </c>
      <c r="D13" s="96" t="str">
        <f>VLOOKUP(Tableau8[[#This Row],[Colonne1]],Tableau124[#All],3,FALSE)</f>
        <v>Nevers</v>
      </c>
      <c r="E13" s="96" t="str">
        <f>VLOOKUP(Tableau8[[#This Row],[Colonne1]],Tableau124[#All],4,FALSE)</f>
        <v>58000</v>
      </c>
      <c r="F13" s="96" t="str">
        <f>VLOOKUP(Tableau8[[#This Row],[Colonne1]],Tableau124[#All],5,FALSE)</f>
        <v>1 avenue Patrick Guillot</v>
      </c>
      <c r="G13" s="96" t="str">
        <f>VLOOKUP(Tableau8[[#This Row],[Colonne1]],Tableau124[#All],6,FALSE)</f>
        <v>Sevrage simple</v>
      </c>
      <c r="H13" s="96" t="str">
        <f>VLOOKUP(Tableau8[[#This Row],[Colonne1]],Tableau124[#All],7,FALSE)</f>
        <v>Centre Hospitalier de l’Agglomération de Nevers</v>
      </c>
      <c r="I13" s="96" t="str">
        <f>VLOOKUP(Tableau8[[#This Row],[Colonne1]],Tableau124[#All],8,FALSE)</f>
        <v>Public</v>
      </c>
      <c r="J13" s="335" t="str">
        <f>VLOOKUP(Tableau8[[#This Row],[Colonne1]],Tableau124[#All],9,FALSE)</f>
        <v>chan.addictologie@ght58.fr</v>
      </c>
      <c r="K13" s="228" t="str">
        <f>VLOOKUP(Tableau8[[#This Row],[Colonne1]],Tableau124[#All],10,FALSE)</f>
        <v>03 86 93 71 00</v>
      </c>
      <c r="L13" s="385" t="str">
        <f>VLOOKUP(Tableau8[[#This Row],[Colonne1]],Tableau124[#All],11,FALSE)</f>
        <v>www.ghtnievre.fr</v>
      </c>
      <c r="M13" s="266" t="str">
        <f>VLOOKUP(Tableau8[[#This Row],[Colonne1]],Tableau124[#All],12,FALSE)</f>
        <v>www.ghtnievre.fr</v>
      </c>
      <c r="N13" s="388" t="str">
        <f>VLOOKUP(Tableau8[[#This Row],[Colonne1]],Tableau124[#All],13,FALSE)</f>
        <v xml:space="preserve">- intervention auprès d'un public majeur ;
- aucun lit dédié mais sevrage possible au cas par cas. </v>
      </c>
    </row>
    <row r="14" spans="1:15" ht="86.45" customHeight="1">
      <c r="B14" s="164">
        <v>151</v>
      </c>
      <c r="C14" s="129" t="str">
        <f>VLOOKUP(Tableau8[[#This Row],[Colonne1]],Tableau124[#All],2,FALSE)</f>
        <v>Nièvre (58)</v>
      </c>
      <c r="D14" s="129" t="str">
        <f>VLOOKUP(Tableau8[[#This Row],[Colonne1]],Tableau124[#All],3,FALSE)</f>
        <v>La Charité-sur-Loire</v>
      </c>
      <c r="E14" s="129">
        <f>VLOOKUP(Tableau8[[#This Row],[Colonne1]],Tableau124[#All],4,FALSE)</f>
        <v>58400</v>
      </c>
      <c r="F14" s="129" t="str">
        <f>VLOOKUP(Tableau8[[#This Row],[Colonne1]],Tableau124[#All],5,FALSE)</f>
        <v>CH Pierre Lôo
51 rue des Hôtelleries</v>
      </c>
      <c r="G14" s="129" t="str">
        <f>VLOOKUP(Tableau8[[#This Row],[Colonne1]],Tableau124[#All],6,FALSE)</f>
        <v>Consultations Hospitalières externes d'addictologie</v>
      </c>
      <c r="H14" s="129" t="str">
        <f>VLOOKUP(Tableau8[[#This Row],[Colonne1]],Tableau124[#All],7,FALSE)</f>
        <v>CH Pierre Lôo</v>
      </c>
      <c r="I14" s="129" t="str">
        <f>VLOOKUP(Tableau8[[#This Row],[Colonne1]],Tableau124[#All],8,FALSE)</f>
        <v>Public</v>
      </c>
      <c r="J14" s="312" t="str">
        <f>VLOOKUP(Tableau8[[#This Row],[Colonne1]],Tableau124[#All],9,FALSE)</f>
        <v>chpl.direction.secretariat@ght58.fr</v>
      </c>
      <c r="K14" s="246">
        <f>VLOOKUP(Tableau8[[#This Row],[Colonne1]],Tableau124[#All],10,FALSE)</f>
        <v>0</v>
      </c>
      <c r="L14" s="384">
        <f>VLOOKUP(Tableau8[[#This Row],[Colonne1]],Tableau124[#All],11,FALSE)</f>
        <v>0</v>
      </c>
      <c r="M14" s="246">
        <f>VLOOKUP(Tableau8[[#This Row],[Colonne1]],Tableau124[#All],12,FALSE)</f>
        <v>0</v>
      </c>
      <c r="N14" s="392">
        <f>VLOOKUP(Tableau8[[#This Row],[Colonne1]],Tableau124[#All],13,FALSE)</f>
        <v>0</v>
      </c>
    </row>
    <row r="15" spans="1:15" ht="86.45" customHeight="1">
      <c r="B15" s="164">
        <v>152</v>
      </c>
      <c r="C15" s="96" t="str">
        <f>VLOOKUP(Tableau8[[#This Row],[Colonne1]],Tableau124[#All],2,FALSE)</f>
        <v>Nièvre (58)</v>
      </c>
      <c r="D15" s="96" t="str">
        <f>VLOOKUP(Tableau8[[#This Row],[Colonne1]],Tableau124[#All],3,FALSE)</f>
        <v>La Charité-sur-Loire</v>
      </c>
      <c r="E15" s="96">
        <f>VLOOKUP(Tableau8[[#This Row],[Colonne1]],Tableau124[#All],4,FALSE)</f>
        <v>58400</v>
      </c>
      <c r="F15" s="96" t="str">
        <f>VLOOKUP(Tableau8[[#This Row],[Colonne1]],Tableau124[#All],5,FALSE)</f>
        <v>CH Pierre Lôo
51 rue des Hôtelleries</v>
      </c>
      <c r="G15" s="96" t="str">
        <f>VLOOKUP(Tableau8[[#This Row],[Colonne1]],Tableau124[#All],6,FALSE)</f>
        <v xml:space="preserve">Sevrage simple </v>
      </c>
      <c r="H15" s="96" t="str">
        <f>VLOOKUP(Tableau8[[#This Row],[Colonne1]],Tableau124[#All],7,FALSE)</f>
        <v>CH Pierre Lôo</v>
      </c>
      <c r="I15" s="96" t="str">
        <f>VLOOKUP(Tableau8[[#This Row],[Colonne1]],Tableau124[#All],8,FALSE)</f>
        <v>Public</v>
      </c>
      <c r="J15" s="335" t="str">
        <f>VLOOKUP(Tableau8[[#This Row],[Colonne1]],Tableau124[#All],9,FALSE)</f>
        <v>chpl.direction.secretariat@ght58.fr</v>
      </c>
      <c r="K15" s="325"/>
      <c r="L15" s="325"/>
      <c r="M15" s="325"/>
      <c r="N15" s="607"/>
    </row>
    <row r="16" spans="1:15" ht="86.45" customHeight="1">
      <c r="B16" s="164">
        <v>156</v>
      </c>
      <c r="C16" s="156" t="str">
        <f>VLOOKUP(Tableau8[[#This Row],[Colonne1]],Tableau124[#All],2,FALSE)</f>
        <v>Nièvre (58)</v>
      </c>
      <c r="D16" s="156" t="str">
        <f>VLOOKUP(Tableau8[[#This Row],[Colonne1]],Tableau124[#All],3,FALSE)</f>
        <v>Nevers</v>
      </c>
      <c r="E16" s="156" t="str">
        <f>VLOOKUP(Tableau8[[#This Row],[Colonne1]],Tableau124[#All],4,FALSE)</f>
        <v>58000</v>
      </c>
      <c r="F16" s="156" t="str">
        <f>VLOOKUP(Tableau8[[#This Row],[Colonne1]],Tableau124[#All],5,FALSE)</f>
        <v>15 Rue du Moulin d'Écorce</v>
      </c>
      <c r="G16" s="156" t="str">
        <f>VLOOKUP(Tableau8[[#This Row],[Colonne1]],Tableau124[#All],6,FALSE)</f>
        <v>CSAPA</v>
      </c>
      <c r="H16" s="156" t="str">
        <f>VLOOKUP(Tableau8[[#This Row],[Colonne1]],Tableau124[#All],7,FALSE)</f>
        <v>CSAPA - Association Addictions France</v>
      </c>
      <c r="I16" s="156" t="str">
        <f>VLOOKUP(Tableau8[[#This Row],[Colonne1]],Tableau124[#All],8,FALSE)</f>
        <v>Associatif</v>
      </c>
      <c r="J16" s="317" t="str">
        <f>VLOOKUP(Tableau8[[#This Row],[Colonne1]],Tableau124[#All],9,FALSE)</f>
        <v>BFC58@Addictions-france.org</v>
      </c>
      <c r="K16" s="244" t="str">
        <f>VLOOKUP(Tableau8[[#This Row],[Colonne1]],Tableau124[#All],10,FALSE)</f>
        <v>03 86 61 56 89</v>
      </c>
      <c r="L16" s="325" t="str">
        <f>VLOOKUP(Tableau8[[#This Row],[Colonne1]],Tableau124[#All],11,FALSE)</f>
        <v xml:space="preserve"> </v>
      </c>
      <c r="M16" s="105" t="str">
        <f>VLOOKUP(Tableau8[[#This Row],[Colonne1]],Tableau124[#All],12,FALSE)</f>
        <v>Du Lundi Au Mercredi : De 8H30 A 12H30 et de 13H30 A 18H00
Le jeudi : De 8H30 A 12H30 et de 13H30 A 17H30
Le Vendredi : De 8H30 A 12H30 et de 13H30 A 17H00</v>
      </c>
      <c r="N16" s="391" t="str">
        <f>VLOOKUP(Tableau8[[#This Row],[Colonne1]],Tableau124[#All],13,FALSE)</f>
        <v>- Réalisation de consultations avancées sur Imphy ;
- intervention en milieu pénitentiaire à la Maison d'arrêt de Nevers ;
- mise à disposition de matériel de consommation à moindre risque ;
- proposition de test rapide d'orientation diagnostic (TROD) ; 
- dispositifs anti-overdose à disposition ; 
- présence d'une CJC.</v>
      </c>
    </row>
    <row r="17" spans="1:14" ht="86.45" customHeight="1">
      <c r="B17" s="164">
        <v>144</v>
      </c>
      <c r="C17" s="156" t="str">
        <f>VLOOKUP(Tableau8[[#This Row],[Colonne1]],Tableau124[#All],2,FALSE)</f>
        <v>Nièvre (58)</v>
      </c>
      <c r="D17" s="156" t="str">
        <f>VLOOKUP(Tableau8[[#This Row],[Colonne1]],Tableau124[#All],3,FALSE)</f>
        <v>Clamecy</v>
      </c>
      <c r="E17" s="156">
        <f>VLOOKUP(Tableau8[[#This Row],[Colonne1]],Tableau124[#All],4,FALSE)</f>
        <v>58500</v>
      </c>
      <c r="F17" s="156" t="str">
        <f>VLOOKUP(Tableau8[[#This Row],[Colonne1]],Tableau124[#All],5,FALSE)</f>
        <v>Centre de Périnatalité de Proximité de Clamecy, 14 Rte de Beaugy</v>
      </c>
      <c r="G17" s="156" t="str">
        <f>VLOOKUP(Tableau8[[#This Row],[Colonne1]],Tableau124[#All],6,FALSE)</f>
        <v>CSAPA (consultations avancées)</v>
      </c>
      <c r="H17" s="156" t="str">
        <f>VLOOKUP(Tableau8[[#This Row],[Colonne1]],Tableau124[#All],7,FALSE)</f>
        <v>CSAPA - Association Addictions France - consultations avancées - Centre de Périnatalité de Proximité de Clamecy</v>
      </c>
      <c r="I17" s="156" t="str">
        <f>VLOOKUP(Tableau8[[#This Row],[Colonne1]],Tableau124[#All],8,FALSE)</f>
        <v>Associatif</v>
      </c>
      <c r="J17" s="317" t="str">
        <f>VLOOKUP(Tableau8[[#This Row],[Colonne1]],Tableau124[#All],9,FALSE)</f>
        <v>BFC58@Addictions-france.org</v>
      </c>
      <c r="K17" s="404" t="s">
        <v>1094</v>
      </c>
      <c r="L17" s="317" t="str">
        <f>VLOOKUP(Tableau8[[#This Row],[Colonne1]],Tableau124[#All],11,FALSE)</f>
        <v>www.addictions-france.org</v>
      </c>
      <c r="M17" s="105" t="str">
        <f>VLOOKUP(Tableau8[[#This Row],[Colonne1]],Tableau124[#All],12,FALSE)</f>
        <v>Le lundi, mardi, jeudi de 9h00 à 17h00 ; le mercredi de 9h00 à 18h00 ;le vendredi de 9h00 à 16h30.</v>
      </c>
      <c r="N17" s="292" t="str">
        <f>VLOOKUP(Tableau8[[#This Row],[Colonne1]],Tableau124[#All],13,FALSE)</f>
        <v>Réalisation de consultations avancées</v>
      </c>
    </row>
    <row r="18" spans="1:14" ht="86.45" customHeight="1">
      <c r="B18" s="164">
        <v>145</v>
      </c>
      <c r="C18" s="156" t="str">
        <f>VLOOKUP(Tableau8[[#This Row],[Colonne1]],Tableau124[#All],2,FALSE)</f>
        <v>Nièvre (58)</v>
      </c>
      <c r="D18" s="156" t="str">
        <f>VLOOKUP(Tableau8[[#This Row],[Colonne1]],Tableau124[#All],3,FALSE)</f>
        <v>Cosne-Cours-Sur-Loire</v>
      </c>
      <c r="E18" s="156">
        <f>VLOOKUP(Tableau8[[#This Row],[Colonne1]],Tableau124[#All],4,FALSE)</f>
        <v>58206</v>
      </c>
      <c r="F18" s="156" t="str">
        <f>VLOOKUP(Tableau8[[#This Row],[Colonne1]],Tableau124[#All],5,FALSE)</f>
        <v>Centre Hospitalier de Cosne-Cours-sur-Loire
96, rue Maréchal Leclerc</v>
      </c>
      <c r="G18" s="156" t="str">
        <f>VLOOKUP(Tableau8[[#This Row],[Colonne1]],Tableau124[#All],6,FALSE)</f>
        <v>CSAPA (consultations avancées)</v>
      </c>
      <c r="H18" s="156" t="str">
        <f>VLOOKUP(Tableau8[[#This Row],[Colonne1]],Tableau124[#All],7,FALSE)</f>
        <v xml:space="preserve">CSAPA - Association Addictions France - consultations avancées - Centre de Périnatalité de Proximité de Cosne sur Loire </v>
      </c>
      <c r="I18" s="156" t="str">
        <f>VLOOKUP(Tableau8[[#This Row],[Colonne1]],Tableau124[#All],8,FALSE)</f>
        <v>Associatif</v>
      </c>
      <c r="J18" s="317" t="str">
        <f>VLOOKUP(Tableau8[[#This Row],[Colonne1]],Tableau124[#All],9,FALSE)</f>
        <v>secretaire.cpp@hopital-cosne.fr</v>
      </c>
      <c r="K18" s="404" t="s">
        <v>1094</v>
      </c>
      <c r="L18" s="317" t="str">
        <f>VLOOKUP(Tableau8[[#This Row],[Colonne1]],Tableau124[#All],11,FALSE)</f>
        <v>www.addictions-france.org</v>
      </c>
      <c r="M18" s="105" t="str">
        <f>VLOOKUP(Tableau8[[#This Row],[Colonne1]],Tableau124[#All],12,FALSE)</f>
        <v>Ouvert du lundi au vendredi
De 8h30 à 12h30 et de 13h30 à 17h30</v>
      </c>
      <c r="N18" s="289" t="str">
        <f>VLOOKUP(Tableau8[[#This Row],[Colonne1]],Tableau124[#All],13,FALSE)</f>
        <v>Réalisation de consultations avancées</v>
      </c>
    </row>
    <row r="19" spans="1:14" ht="86.45" customHeight="1">
      <c r="B19" s="164">
        <v>147</v>
      </c>
      <c r="C19" s="156" t="str">
        <f>VLOOKUP(Tableau8[[#This Row],[Colonne1]],Tableau124[#All],2,FALSE)</f>
        <v>Nièvre (58)</v>
      </c>
      <c r="D19" s="156" t="str">
        <f>VLOOKUP(Tableau8[[#This Row],[Colonne1]],Tableau124[#All],3,FALSE)</f>
        <v>Decize</v>
      </c>
      <c r="E19" s="156">
        <f>VLOOKUP(Tableau8[[#This Row],[Colonne1]],Tableau124[#All],4,FALSE)</f>
        <v>58300</v>
      </c>
      <c r="F19" s="156" t="str">
        <f>VLOOKUP(Tableau8[[#This Row],[Colonne1]],Tableau124[#All],5,FALSE)</f>
        <v>Centre de Périnatalité de Proximité de Decize, 74 Route de Moulins, BP 20065</v>
      </c>
      <c r="G19" s="156" t="str">
        <f>VLOOKUP(Tableau8[[#This Row],[Colonne1]],Tableau124[#All],6,FALSE)</f>
        <v>CSAPA (consultations avancées)</v>
      </c>
      <c r="H19" s="156" t="str">
        <f>VLOOKUP(Tableau8[[#This Row],[Colonne1]],Tableau124[#All],7,FALSE)</f>
        <v xml:space="preserve">CSAPA - Association Addictions France - consultations avancées - Centre de Périnatalité de Proximité de Decize </v>
      </c>
      <c r="I19" s="156" t="str">
        <f>VLOOKUP(Tableau8[[#This Row],[Colonne1]],Tableau124[#All],8,FALSE)</f>
        <v>Associatif</v>
      </c>
      <c r="J19" s="317" t="str">
        <f>VLOOKUP(Tableau8[[#This Row],[Colonne1]],Tableau124[#All],9,FALSE)</f>
        <v>BFC58@Addictions-france.org</v>
      </c>
      <c r="K19" s="404" t="s">
        <v>1094</v>
      </c>
      <c r="L19" s="317" t="str">
        <f>VLOOKUP(Tableau8[[#This Row],[Colonne1]],Tableau124[#All],11,FALSE)</f>
        <v>www.addictions-france.org</v>
      </c>
      <c r="M19" s="105" t="str">
        <f>VLOOKUP(Tableau8[[#This Row],[Colonne1]],Tableau124[#All],12,FALSE)</f>
        <v>Du lundi au vendredi de 9h30 à 13h00 et de 14h30 à 17h00</v>
      </c>
      <c r="N19" s="289" t="str">
        <f>VLOOKUP(Tableau8[[#This Row],[Colonne1]],Tableau124[#All],13,FALSE)</f>
        <v>Réalisation de consultations avancées</v>
      </c>
    </row>
    <row r="20" spans="1:14" ht="86.45" customHeight="1">
      <c r="B20" s="164">
        <v>150</v>
      </c>
      <c r="C20" s="221" t="str">
        <f>VLOOKUP(Tableau8[[#This Row],[Colonne1]],Tableau124[#All],2,FALSE)</f>
        <v>Nièvre (58)</v>
      </c>
      <c r="D20" s="221" t="str">
        <f>VLOOKUP(Tableau8[[#This Row],[Colonne1]],Tableau124[#All],3,FALSE)</f>
        <v>Imphy</v>
      </c>
      <c r="E20" s="221">
        <f>VLOOKUP(Tableau8[[#This Row],[Colonne1]],Tableau124[#All],4,FALSE)</f>
        <v>58160</v>
      </c>
      <c r="F20" s="221" t="str">
        <f>VLOOKUP(Tableau8[[#This Row],[Colonne1]],Tableau124[#All],5,FALSE)</f>
        <v>CHRS -8 Rue Jean Sounié</v>
      </c>
      <c r="G20" s="221" t="str">
        <f>VLOOKUP(Tableau8[[#This Row],[Colonne1]],Tableau124[#All],6,FALSE)</f>
        <v>CSAPA (consultations avancées)</v>
      </c>
      <c r="H20" s="221" t="str">
        <f>VLOOKUP(Tableau8[[#This Row],[Colonne1]],Tableau124[#All],7,FALSE)</f>
        <v>CSAPA - Association Addictions France- consultations avancées</v>
      </c>
      <c r="I20" s="221" t="str">
        <f>VLOOKUP(Tableau8[[#This Row],[Colonne1]],Tableau124[#All],8,FALSE)</f>
        <v>Associatif</v>
      </c>
      <c r="J20" s="319" t="str">
        <f>VLOOKUP(Tableau8[[#This Row],[Colonne1]],Tableau124[#All],9,FALSE)</f>
        <v>BFC58@Addictions-france.org</v>
      </c>
      <c r="K20" s="243" t="str">
        <f>VLOOKUP(Tableau8[[#This Row],[Colonne1]],Tableau124[#All],10,FALSE)</f>
        <v>04 86 61 56 89</v>
      </c>
      <c r="L20" s="324" t="str">
        <f>VLOOKUP(Tableau8[[#This Row],[Colonne1]],Tableau124[#All],11,FALSE)</f>
        <v xml:space="preserve"> </v>
      </c>
      <c r="M20" s="156" t="str">
        <f>VLOOKUP(Tableau8[[#This Row],[Colonne1]],Tableau124[#All],12,FALSE)</f>
        <v>4ème vendredi de 9H00 A 12H00</v>
      </c>
      <c r="N20" s="156" t="str">
        <f>VLOOKUP(Tableau8[[#This Row],[Colonne1]],Tableau124[#All],13,FALSE)</f>
        <v>Réalisation de consultations avancées</v>
      </c>
    </row>
    <row r="21" spans="1:14" ht="86.45" customHeight="1">
      <c r="B21" s="164">
        <v>159</v>
      </c>
      <c r="C21" s="156" t="str">
        <f>VLOOKUP(Tableau8[[#This Row],[Colonne1]],Tableau124[#All],2,FALSE)</f>
        <v>Nièvre (58)</v>
      </c>
      <c r="D21" s="156" t="str">
        <f>VLOOKUP(Tableau8[[#This Row],[Colonne1]],Tableau124[#All],3,FALSE)</f>
        <v>Tannay</v>
      </c>
      <c r="E21" s="156" t="str">
        <f>VLOOKUP(Tableau8[[#This Row],[Colonne1]],Tableau124[#All],4,FALSE)</f>
        <v>58000</v>
      </c>
      <c r="F21" s="156" t="str">
        <f>VLOOKUP(Tableau8[[#This Row],[Colonne1]],Tableau124[#All],5,FALSE)</f>
        <v>8 Place Charles Chaigneau</v>
      </c>
      <c r="G21" s="156" t="str">
        <f>VLOOKUP(Tableau8[[#This Row],[Colonne1]],Tableau124[#All],6,FALSE)</f>
        <v>Antenne CSAPA</v>
      </c>
      <c r="H21" s="156" t="str">
        <f>VLOOKUP(Tableau8[[#This Row],[Colonne1]],Tableau124[#All],7,FALSE)</f>
        <v>CSAPA - Association Addictions France</v>
      </c>
      <c r="I21" s="156" t="str">
        <f>VLOOKUP(Tableau8[[#This Row],[Colonne1]],Tableau124[#All],8,FALSE)</f>
        <v>Associatif</v>
      </c>
      <c r="J21" s="317" t="str">
        <f>VLOOKUP(Tableau8[[#This Row],[Colonne1]],Tableau124[#All],9,FALSE)</f>
        <v>bfc58@addictions-france.org</v>
      </c>
      <c r="K21" s="244" t="str">
        <f>VLOOKUP(Tableau8[[#This Row],[Colonne1]],Tableau124[#All],10,FALSE)</f>
        <v>03 86 61 56 89</v>
      </c>
      <c r="L21" s="325" t="str">
        <f>VLOOKUP(Tableau8[[#This Row],[Colonne1]],Tableau124[#All],11,FALSE)</f>
        <v xml:space="preserve"> </v>
      </c>
      <c r="M21" s="105" t="str">
        <f>VLOOKUP(Tableau8[[#This Row],[Colonne1]],Tableau124[#All],12,FALSE)</f>
        <v>Mardi, Jeudi, Vendredi : 8h30 – 12h30 / 13h30 – 17h</v>
      </c>
      <c r="N21" s="426" t="str">
        <f>VLOOKUP(Tableau8[[#This Row],[Colonne1]],Tableau124[#All],13,FALSE)</f>
        <v xml:space="preserve">  </v>
      </c>
    </row>
    <row r="22" spans="1:14" ht="86.45" customHeight="1">
      <c r="B22" s="164">
        <v>143</v>
      </c>
      <c r="C22" s="429" t="str">
        <f>VLOOKUP(Tableau8[[#This Row],[Colonne1]],Tableau124[#All],2,FALSE)</f>
        <v>Nièvre (58)</v>
      </c>
      <c r="D22" s="429" t="str">
        <f>VLOOKUP(Tableau8[[#This Row],[Colonne1]],Tableau124[#All],3,FALSE)</f>
        <v>Château-Chinon</v>
      </c>
      <c r="E22" s="429">
        <f>VLOOKUP(Tableau8[[#This Row],[Colonne1]],Tableau124[#All],4,FALSE)</f>
        <v>58120</v>
      </c>
      <c r="F22" s="429" t="str">
        <f>VLOOKUP(Tableau8[[#This Row],[Colonne1]],Tableau124[#All],5,FALSE)</f>
        <v>Maison Médicale, 38 rue Jean Marie Thévenin</v>
      </c>
      <c r="G22" s="429" t="str">
        <f>VLOOKUP(Tableau8[[#This Row],[Colonne1]],Tableau124[#All],6,FALSE)</f>
        <v>CJC</v>
      </c>
      <c r="H22" s="429" t="str">
        <f>VLOOKUP(Tableau8[[#This Row],[Colonne1]],Tableau124[#All],7,FALSE)</f>
        <v>CSAPA - Association Addictions France</v>
      </c>
      <c r="I22" s="429" t="str">
        <f>VLOOKUP(Tableau8[[#This Row],[Colonne1]],Tableau124[#All],8,FALSE)</f>
        <v>Associatif</v>
      </c>
      <c r="J22" s="431" t="str">
        <f>VLOOKUP(Tableau8[[#This Row],[Colonne1]],Tableau124[#All],9,FALSE)</f>
        <v>BFC58@Addictions-france.org</v>
      </c>
      <c r="K22" s="432" t="str">
        <f>VLOOKUP(Tableau8[[#This Row],[Colonne1]],Tableau124[#All],10,FALSE)</f>
        <v>04 86 61 56 89</v>
      </c>
      <c r="L22" s="606" t="str">
        <f>VLOOKUP(Tableau8[[#This Row],[Colonne1]],Tableau124[#All],11,FALSE)</f>
        <v xml:space="preserve"> </v>
      </c>
      <c r="M22" s="433" t="str">
        <f>VLOOKUP(Tableau8[[#This Row],[Colonne1]],Tableau124[#All],12,FALSE)</f>
        <v>Tous les mercredis de 8h30 à 12h30 et de 13h30 à 17h30</v>
      </c>
      <c r="N22" s="434" t="str">
        <f>VLOOKUP(Tableau8[[#This Row],[Colonne1]],Tableau124[#All],13,FALSE)</f>
        <v xml:space="preserve">- Accueil des familles ; 
- Orientation sur rendez-vous ;
- CJC accessible à la famille et l'entourage ; 
- locaux identiques à ceux du CSAPA. </v>
      </c>
    </row>
    <row r="23" spans="1:14" ht="86.45" customHeight="1">
      <c r="B23" s="164">
        <v>154</v>
      </c>
      <c r="C23" s="429" t="str">
        <f>VLOOKUP(Tableau8[[#This Row],[Colonne1]],Tableau124[#All],2,FALSE)</f>
        <v>Nièvre (58)</v>
      </c>
      <c r="D23" s="429" t="str">
        <f>VLOOKUP(Tableau8[[#This Row],[Colonne1]],Tableau124[#All],3,FALSE)</f>
        <v>Nevers</v>
      </c>
      <c r="E23" s="429" t="str">
        <f>VLOOKUP(Tableau8[[#This Row],[Colonne1]],Tableau124[#All],4,FALSE)</f>
        <v>58000</v>
      </c>
      <c r="F23" s="429" t="str">
        <f>VLOOKUP(Tableau8[[#This Row],[Colonne1]],Tableau124[#All],5,FALSE)</f>
        <v>15 Rue du Moulin d'Écorce</v>
      </c>
      <c r="G23" s="429" t="str">
        <f>VLOOKUP(Tableau8[[#This Row],[Colonne1]],Tableau124[#All],6,FALSE)</f>
        <v>CJC</v>
      </c>
      <c r="H23" s="429" t="str">
        <f>VLOOKUP(Tableau8[[#This Row],[Colonne1]],Tableau124[#All],7,FALSE)</f>
        <v>CSAPA - Association Addictions France</v>
      </c>
      <c r="I23" s="429" t="str">
        <f>VLOOKUP(Tableau8[[#This Row],[Colonne1]],Tableau124[#All],8,FALSE)</f>
        <v>Associatif</v>
      </c>
      <c r="J23" s="431" t="str">
        <f>VLOOKUP(Tableau8[[#This Row],[Colonne1]],Tableau124[#All],9,FALSE)</f>
        <v>BFC58@Addictions-france.org</v>
      </c>
      <c r="K23" s="605" t="str">
        <f>VLOOKUP(Tableau8[[#This Row],[Colonne1]],Tableau124[#All],10,FALSE)</f>
        <v>03 86 61 56 89</v>
      </c>
      <c r="L23" s="473" t="str">
        <f>VLOOKUP(Tableau8[[#This Row],[Colonne1]],Tableau124[#All],11,FALSE)</f>
        <v xml:space="preserve"> </v>
      </c>
      <c r="M23" s="474" t="str">
        <f>VLOOKUP(Tableau8[[#This Row],[Colonne1]],Tableau124[#All],12,FALSE)</f>
        <v>Du Lundi au Mercredi - 8H30 A 12H30 et de 13H30 A 18H00
Le jeudi : de 13H30 A 17H30
Le vendredi : de 13H30 A 16H30</v>
      </c>
      <c r="N23" s="475" t="str">
        <f>VLOOKUP(Tableau8[[#This Row],[Colonne1]],Tableau124[#All],13,FALSE)</f>
        <v xml:space="preserve">- Accueil des familles ; 
- Orientation sur rendez-vous ;
- CJC accessible à la famille et l'entourage ; 
- locaux identiques à ceux du CSAPA. </v>
      </c>
    </row>
    <row r="24" spans="1:14" s="192" customFormat="1" ht="250.5" customHeight="1">
      <c r="A24" s="191"/>
      <c r="B24" s="187">
        <v>142</v>
      </c>
      <c r="C24" s="127" t="str">
        <f>VLOOKUP(Tableau8[[#This Row],[Colonne1]],Tableau124[#All],2,FALSE)</f>
        <v>Nièvre (58)</v>
      </c>
      <c r="D24" s="127" t="str">
        <f>VLOOKUP(Tableau8[[#This Row],[Colonne1]],Tableau124[#All],3,FALSE)</f>
        <v>Champlemy</v>
      </c>
      <c r="E24" s="127" t="str">
        <f>VLOOKUP(Tableau8[[#This Row],[Colonne1]],Tableau124[#All],4,FALSE)</f>
        <v>58210</v>
      </c>
      <c r="F24" s="127" t="str">
        <f>VLOOKUP(Tableau8[[#This Row],[Colonne1]],Tableau124[#All],5,FALSE)</f>
        <v>Centre médical de la Vènerie, Lieu Dit La Vènerie</v>
      </c>
      <c r="G24" s="98" t="str">
        <f>VLOOKUP(Tableau8[[#This Row],[Colonne1]],Tableau124[#All],6,FALSE)</f>
        <v>SMRA</v>
      </c>
      <c r="H24" s="127" t="str">
        <f>VLOOKUP(Tableau8[[#This Row],[Colonne1]],Tableau124[#All],7,FALSE)</f>
        <v>VP SANTE</v>
      </c>
      <c r="I24" s="127" t="str">
        <f>VLOOKUP(Tableau8[[#This Row],[Colonne1]],Tableau124[#All],8,FALSE)</f>
        <v>Privé à but lucratif</v>
      </c>
      <c r="J24" s="340" t="str">
        <f>VLOOKUP(Tableau8[[#This Row],[Colonne1]],Tableau124[#All],9,FALSE)</f>
        <v>soins-admissions@lavenerie.fr</v>
      </c>
      <c r="K24" s="127" t="str">
        <f>VLOOKUP(Tableau8[[#This Row],[Colonne1]],Tableau124[#All],10,FALSE)</f>
        <v>03 86 69 50 00</v>
      </c>
      <c r="L24" s="324" t="str">
        <f>VLOOKUP(Tableau8[[#This Row],[Colonne1]],Tableau124[#All],11,FALSE)</f>
        <v xml:space="preserve"> </v>
      </c>
      <c r="M24" s="339" t="str">
        <f>VLOOKUP(Tableau8[[#This Row],[Colonne1]],Tableau124[#All],12,FALSE)</f>
        <v xml:space="preserve">du lundi au vendredi de 9h00  à 17h30 </v>
      </c>
      <c r="N24" s="399" t="str">
        <f>VLOOKUP(Tableau8[[#This Row],[Colonne1]],Tableau124[#All],13,FALSE)</f>
        <v xml:space="preserve">- intervention auprès d'un public majeur ; </v>
      </c>
    </row>
    <row r="25" spans="1:14" ht="86.45" customHeight="1"/>
    <row r="26" spans="1:14" ht="86.45" customHeight="1"/>
    <row r="27" spans="1:14" ht="86.45" customHeight="1"/>
    <row r="28" spans="1:14" ht="86.45" customHeight="1"/>
    <row r="29" spans="1:14" ht="86.45" customHeight="1"/>
    <row r="30" spans="1:14" ht="86.45" customHeight="1"/>
    <row r="31" spans="1:14" ht="86.45" customHeight="1"/>
  </sheetData>
  <mergeCells count="1">
    <mergeCell ref="C3:O3"/>
  </mergeCells>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9BE1"/>
  </sheetPr>
  <dimension ref="A1:O48"/>
  <sheetViews>
    <sheetView topLeftCell="A44" zoomScale="55" zoomScaleNormal="40" workbookViewId="0">
      <selection activeCell="A19" sqref="A19:XFD19"/>
    </sheetView>
  </sheetViews>
  <sheetFormatPr baseColWidth="10" defaultColWidth="10.5703125" defaultRowHeight="15"/>
  <cols>
    <col min="1" max="1" width="16.5703125" style="48" customWidth="1"/>
    <col min="2" max="2" width="16.5703125" customWidth="1"/>
    <col min="3" max="3" width="16.42578125" style="1" customWidth="1"/>
    <col min="4" max="4" width="36.28515625" style="1" customWidth="1"/>
    <col min="5" max="5" width="24.140625" style="1" customWidth="1"/>
    <col min="6" max="6" width="32.5703125" style="1" customWidth="1"/>
    <col min="7" max="7" width="29.42578125" style="1" customWidth="1"/>
    <col min="8" max="8" width="19.140625" style="1" customWidth="1"/>
    <col min="9" max="9" width="33.140625" style="1" customWidth="1"/>
    <col min="10" max="10" width="20.42578125" style="1" customWidth="1"/>
    <col min="11" max="11" width="26.42578125" style="1" customWidth="1"/>
    <col min="12" max="12" width="23.42578125" style="1" customWidth="1"/>
    <col min="13" max="13" width="16.5703125" style="1" customWidth="1"/>
    <col min="14" max="14" width="28.28515625" style="1" customWidth="1"/>
    <col min="15" max="15" width="34.140625" style="1" hidden="1" customWidth="1"/>
    <col min="16" max="16384" width="10.5703125" style="1"/>
  </cols>
  <sheetData>
    <row r="1" spans="1:15" ht="57.6" customHeight="1">
      <c r="B1" s="168"/>
      <c r="C1" s="48"/>
      <c r="D1" s="48"/>
      <c r="E1" s="48"/>
      <c r="F1" s="48"/>
      <c r="G1" s="48"/>
      <c r="H1" s="48"/>
      <c r="I1" s="48"/>
      <c r="J1" s="48"/>
      <c r="K1" s="48"/>
      <c r="L1" s="48"/>
      <c r="M1" s="48"/>
      <c r="N1" s="48"/>
    </row>
    <row r="3" spans="1:15" ht="18.75">
      <c r="C3" s="709" t="s">
        <v>766</v>
      </c>
      <c r="D3" s="709"/>
      <c r="E3" s="709"/>
      <c r="F3" s="709"/>
      <c r="G3" s="709"/>
      <c r="H3" s="709"/>
      <c r="I3" s="709"/>
      <c r="J3" s="709"/>
      <c r="K3" s="709"/>
      <c r="L3" s="709"/>
      <c r="M3" s="709"/>
      <c r="N3" s="709"/>
      <c r="O3" s="709"/>
    </row>
    <row r="5" spans="1:15" ht="30">
      <c r="A5" s="49"/>
      <c r="B5" s="23" t="s">
        <v>1078</v>
      </c>
      <c r="C5" s="22" t="s">
        <v>17</v>
      </c>
      <c r="D5" s="23" t="s">
        <v>18</v>
      </c>
      <c r="E5" s="23" t="s">
        <v>19</v>
      </c>
      <c r="F5" s="23" t="s">
        <v>20</v>
      </c>
      <c r="G5" s="23" t="s">
        <v>21</v>
      </c>
      <c r="H5" s="23" t="s">
        <v>22</v>
      </c>
      <c r="I5" s="23" t="s">
        <v>23</v>
      </c>
      <c r="J5" s="23" t="s">
        <v>24</v>
      </c>
      <c r="K5" s="23" t="s">
        <v>25</v>
      </c>
      <c r="L5" s="23" t="s">
        <v>26</v>
      </c>
      <c r="M5" s="23" t="s">
        <v>27</v>
      </c>
      <c r="N5" s="24" t="s">
        <v>28</v>
      </c>
    </row>
    <row r="6" spans="1:15" ht="86.45" customHeight="1">
      <c r="B6" s="164">
        <v>48</v>
      </c>
      <c r="C6" s="203" t="str">
        <f>VLOOKUP(Tableau11[[#This Row],[Colonne1]],Tableau124[#All],2,FALSE)</f>
        <v>Doubs (25)</v>
      </c>
      <c r="D6" s="203" t="str">
        <f>VLOOKUP(Tableau11[[#This Row],[Colonne1]],Tableau124[#All],3,FALSE)</f>
        <v>Besançon</v>
      </c>
      <c r="E6" s="203" t="str">
        <f>VLOOKUP(Tableau11[[#This Row],[Colonne1]],Tableau124[#All],4,FALSE)</f>
        <v>25000</v>
      </c>
      <c r="F6" s="203" t="str">
        <f>VLOOKUP(Tableau11[[#This Row],[Colonne1]],Tableau124[#All],5,FALSE)</f>
        <v>2 avenue Fontaine Argent</v>
      </c>
      <c r="G6" s="203" t="str">
        <f>VLOOKUP(Tableau11[[#This Row],[Colonne1]],Tableau124[#All],6,FALSE)</f>
        <v>CAARUD</v>
      </c>
      <c r="H6" s="203" t="str">
        <f>VLOOKUP(Tableau11[[#This Row],[Colonne1]],Tableau124[#All],7,FALSE)</f>
        <v>AIDeS CAARUD25</v>
      </c>
      <c r="I6" s="203" t="str">
        <f>VLOOKUP(Tableau11[[#This Row],[Colonne1]],Tableau124[#All],8,FALSE)</f>
        <v>Associatif</v>
      </c>
      <c r="J6" s="359" t="str">
        <f>VLOOKUP(Tableau11[[#This Row],[Colonne1]],Tableau124[#All],9,FALSE)</f>
        <v>delegation25@aides.org</v>
      </c>
      <c r="K6" s="240" t="str">
        <f>VLOOKUP(Tableau11[[#This Row],[Colonne1]],Tableau124[#All],10,FALSE)</f>
        <v>03 81 81 80 00</v>
      </c>
      <c r="L6" s="359" t="str">
        <f>VLOOKUP(Tableau11[[#This Row],[Colonne1]],Tableau124[#All],11,FALSE)</f>
        <v>aides.org</v>
      </c>
      <c r="M6" s="204" t="str">
        <f>VLOOKUP(Tableau11[[#This Row],[Colonne1]],Tableau124[#All],12,FALSE)</f>
        <v>Lundi, Mercredi, Vendredi de 15h à 19h</v>
      </c>
      <c r="N6" s="276" t="str">
        <f>VLOOKUP(Tableau11[[#This Row],[Colonne1]],Tableau124[#All],13,FALSE)</f>
        <v xml:space="preserve">- unité mobile pouvant servir de lieu d'accueil (déplacement sur Bensançon, Baume les Dames, Clerval, Morteau et Pontarlier) ; 
- programme d'échange de seringues ;
- intervention en maraude ; 
- intervention en milieu festif. </v>
      </c>
    </row>
    <row r="7" spans="1:15" ht="86.45" customHeight="1">
      <c r="B7" s="164">
        <v>66</v>
      </c>
      <c r="C7" s="203" t="str">
        <f>VLOOKUP(Tableau11[[#This Row],[Colonne1]],Tableau124[#All],2,FALSE)</f>
        <v>Doubs (25)</v>
      </c>
      <c r="D7" s="203" t="str">
        <f>VLOOKUP(Tableau11[[#This Row],[Colonne1]],Tableau124[#All],3,FALSE)</f>
        <v>Montbéliard</v>
      </c>
      <c r="E7" s="203" t="str">
        <f>VLOOKUP(Tableau11[[#This Row],[Colonne1]],Tableau124[#All],4,FALSE)</f>
        <v>25200</v>
      </c>
      <c r="F7" s="203" t="str">
        <f>VLOOKUP(Tableau11[[#This Row],[Colonne1]],Tableau124[#All],5,FALSE)</f>
        <v>30 Fbg de Besançon</v>
      </c>
      <c r="G7" s="203" t="str">
        <f>VLOOKUP(Tableau11[[#This Row],[Colonne1]],Tableau124[#All],6,FALSE)</f>
        <v>CAARUD</v>
      </c>
      <c r="H7" s="203" t="str">
        <f>VLOOKUP(Tableau11[[#This Row],[Colonne1]],Tableau124[#All],7,FALSE)</f>
        <v>CAARUD ENTR'ACTES - Association d'Hygiène Sociale de Franche Comté</v>
      </c>
      <c r="I7" s="203" t="str">
        <f>VLOOKUP(Tableau11[[#This Row],[Colonne1]],Tableau124[#All],8,FALSE)</f>
        <v>Associatif</v>
      </c>
      <c r="J7" s="363" t="str">
        <f>VLOOKUP(Tableau11[[#This Row],[Colonne1]],Tableau124[#All],9,FALSE)</f>
        <v>pole-addictologie.nfc@ahs-fc.fr</v>
      </c>
      <c r="K7" s="240" t="str">
        <f>VLOOKUP(Tableau11[[#This Row],[Colonne1]],Tableau124[#All],10,FALSE)</f>
        <v>03.81.31.29.41</v>
      </c>
      <c r="L7" s="359" t="str">
        <f>VLOOKUP(Tableau11[[#This Row],[Colonne1]],Tableau124[#All],11,FALSE)</f>
        <v>www.ahs-fc.fr</v>
      </c>
      <c r="M7" s="204" t="str">
        <f>VLOOKUP(Tableau11[[#This Row],[Colonne1]],Tableau124[#All],12,FALSE)</f>
        <v>Montbéliard :
lundi et jeudi de 10h à 15h</v>
      </c>
      <c r="N7" s="282" t="str">
        <f>VLOOKUP(Tableau11[[#This Row],[Colonne1]],Tableau124[#All],13,FALSE)</f>
        <v>- unité mobile pouvant servir de lieu d'accueil (déplacements sur tout le territoire Nord-Franche-Comté) ; 
- programme d'échange de seringues ;
- interventions ponctuelles en maraude ; 
- intervention en milieu festif ;
L’unité Mobile est rattachée au CAARUD : kmobile.nfc@ahs-fc.fr, kmobile.nfc@ahs-fc.fr, 06-85-11-08-91 (Semaine impaire ; mardi, mercred et jeudi
Semaine paire : mercredi, jeudi 
10h-16h)</v>
      </c>
    </row>
    <row r="8" spans="1:15" ht="86.45" customHeight="1">
      <c r="B8" s="164">
        <v>128</v>
      </c>
      <c r="C8" s="400" t="str">
        <f>VLOOKUP(Tableau11[[#This Row],[Colonne1]],Tableau124[#All],2,FALSE)</f>
        <v>Jura (39)</v>
      </c>
      <c r="D8" s="400" t="str">
        <f>VLOOKUP(Tableau11[[#This Row],[Colonne1]],Tableau124[#All],3,FALSE)</f>
        <v>Lons Le Saunier</v>
      </c>
      <c r="E8" s="400" t="str">
        <f>VLOOKUP(Tableau11[[#This Row],[Colonne1]],Tableau124[#All],4,FALSE)</f>
        <v>39000</v>
      </c>
      <c r="F8" s="400" t="str">
        <f>VLOOKUP(Tableau11[[#This Row],[Colonne1]],Tableau124[#All],5,FALSE)</f>
        <v>8 rue Jules Bury</v>
      </c>
      <c r="G8" s="400" t="str">
        <f>VLOOKUP(Tableau11[[#This Row],[Colonne1]],Tableau124[#All],6,FALSE)</f>
        <v>CAARUD de réduction des risques et des dommages à distance</v>
      </c>
      <c r="H8" s="400" t="str">
        <f>VLOOKUP(Tableau11[[#This Row],[Colonne1]],Tableau124[#All],7,FALSE)</f>
        <v>CAARUD Oppelia Passerelle 39</v>
      </c>
      <c r="I8" s="400" t="str">
        <f>VLOOKUP(Tableau11[[#This Row],[Colonne1]],Tableau124[#All],8,FALSE)</f>
        <v>Associatif</v>
      </c>
      <c r="J8" s="414" t="str">
        <f>VLOOKUP(Tableau11[[#This Row],[Colonne1]],Tableau124[#All],9,FALSE)</f>
        <v>contactp39@oppelia.fr</v>
      </c>
      <c r="K8" s="415" t="str">
        <f>VLOOKUP(Tableau11[[#This Row],[Colonne1]],Tableau124[#All],10,FALSE)</f>
        <v>03 84 24 66 83</v>
      </c>
      <c r="L8" s="416" t="str">
        <f>VLOOKUP(Tableau11[[#This Row],[Colonne1]],Tableau124[#All],11,FALSE)</f>
        <v>https://www.oppelia.fr/etablissement/passerelle-39-lons-le-saunier/</v>
      </c>
      <c r="M8" s="400" t="str">
        <f>VLOOKUP(Tableau11[[#This Row],[Colonne1]],Tableau124[#All],12,FALSE)</f>
        <v>Accueil fixe: mardi de 13h30 à 17h00, mercredi de 8h00 à 12h30, jeudi de 16h30 à 20h00</v>
      </c>
      <c r="N8" s="400" t="str">
        <f>VLOOKUP(Tableau11[[#This Row],[Colonne1]],Tableau124[#All],13,FALSE)</f>
        <v>- Permanences d'accueil ou accueil sur rendez-vous
- unité mobile pouvant servir de lieu d'accueil (déplacements sur tout le département du Jura) ; 
- programme d'échange de seringues ;
- intervention en maraude ; 
- mise à disposition de matériel de consommation à moindre risque ;
- proposition de test rapide d'orientation diagnostic (TROD) ; 
- dispositif TAPAJ
- intervention en milieu festif ;
- intervention en milieu pénitentier à la Maison d'arrêt de Lons-le-Saunier.</v>
      </c>
    </row>
    <row r="9" spans="1:15" ht="86.45" customHeight="1">
      <c r="B9" s="164">
        <v>76</v>
      </c>
      <c r="C9" s="212" t="str">
        <f>VLOOKUP(Tableau11[[#This Row],[Colonne1]],Tableau124[#All],2,FALSE)</f>
        <v>Doubs (25)</v>
      </c>
      <c r="D9" s="212" t="str">
        <f>VLOOKUP(Tableau11[[#This Row],[Colonne1]],Tableau124[#All],3,FALSE)</f>
        <v>Pontarlier</v>
      </c>
      <c r="E9" s="212" t="str">
        <f>VLOOKUP(Tableau11[[#This Row],[Colonne1]],Tableau124[#All],4,FALSE)</f>
        <v>25300</v>
      </c>
      <c r="F9" s="212" t="str">
        <f>VLOOKUP(Tableau11[[#This Row],[Colonne1]],Tableau124[#All],5,FALSE)</f>
        <v>2 Fbg Saint-Etienne</v>
      </c>
      <c r="G9" s="212" t="str">
        <f>VLOOKUP(Tableau11[[#This Row],[Colonne1]],Tableau124[#All],6,FALSE)</f>
        <v>CJC</v>
      </c>
      <c r="H9" s="212" t="str">
        <f>VLOOKUP(Tableau11[[#This Row],[Colonne1]],Tableau124[#All],7,FALSE)</f>
        <v>CSAPA CHI-HC</v>
      </c>
      <c r="I9" s="212" t="str">
        <f>VLOOKUP(Tableau11[[#This Row],[Colonne1]],Tableau124[#All],8,FALSE)</f>
        <v>Public</v>
      </c>
      <c r="J9" s="368" t="str">
        <f>VLOOKUP(Tableau11[[#This Row],[Colonne1]],Tableau124[#All],9,FALSE)</f>
        <v>csapa@chi-hc.fr</v>
      </c>
      <c r="K9" s="241" t="str">
        <f>VLOOKUP(Tableau11[[#This Row],[Colonne1]],Tableau124[#All],10,FALSE)</f>
        <v>03 81 38 53 64</v>
      </c>
      <c r="L9" s="314" t="str">
        <f>VLOOKUP(Tableau11[[#This Row],[Colonne1]],Tableau124[#All],11,FALSE)</f>
        <v xml:space="preserve"> </v>
      </c>
      <c r="M9" s="260" t="str">
        <f>VLOOKUP(Tableau11[[#This Row],[Colonne1]],Tableau124[#All],12,FALSE)</f>
        <v>Lundi et mardi de 8 heures à 19 heures et vendredi de 8 heures à 16 heures</v>
      </c>
      <c r="N9" s="283" t="str">
        <f>VLOOKUP(Tableau11[[#This Row],[Colonne1]],Tableau124[#All],13,FALSE)</f>
        <v xml:space="preserve">- Accueil des familles ; 
- Orientation sur rendez-vous ;
- CJC accessible à la famille et l'entourage ; 
- locaux identiques à ceux du CSAPA. </v>
      </c>
    </row>
    <row r="10" spans="1:15" ht="86.45" customHeight="1">
      <c r="B10" s="164">
        <v>49</v>
      </c>
      <c r="C10" s="212" t="str">
        <f>VLOOKUP(Tableau11[[#This Row],[Colonne1]],Tableau124[#All],2,FALSE)</f>
        <v>Doubs (25)</v>
      </c>
      <c r="D10" s="212" t="str">
        <f>VLOOKUP(Tableau11[[#This Row],[Colonne1]],Tableau124[#All],3,FALSE)</f>
        <v>Besançon</v>
      </c>
      <c r="E10" s="212">
        <f>VLOOKUP(Tableau11[[#This Row],[Colonne1]],Tableau124[#All],4,FALSE)</f>
        <v>25000</v>
      </c>
      <c r="F10" s="212" t="str">
        <f>VLOOKUP(Tableau11[[#This Row],[Colonne1]],Tableau124[#All],5,FALSE)</f>
        <v xml:space="preserve">11 rue d'Alsace </v>
      </c>
      <c r="G10" s="212" t="str">
        <f>VLOOKUP(Tableau11[[#This Row],[Colonne1]],Tableau124[#All],6,FALSE)</f>
        <v>CJC</v>
      </c>
      <c r="H10" s="212" t="str">
        <f>VLOOKUP(Tableau11[[#This Row],[Colonne1]],Tableau124[#All],7,FALSE)</f>
        <v>CSAPA de Besançon - Association Addictions France</v>
      </c>
      <c r="I10" s="212" t="str">
        <f>VLOOKUP(Tableau11[[#This Row],[Colonne1]],Tableau124[#All],8,FALSE)</f>
        <v>Associatif</v>
      </c>
      <c r="J10" s="368" t="str">
        <f>VLOOKUP(Tableau11[[#This Row],[Colonne1]],Tableau124[#All],9,FALSE)</f>
        <v>csapa.besancon@addictions-france.org</v>
      </c>
      <c r="K10" s="241" t="str">
        <f>VLOOKUP(Tableau11[[#This Row],[Colonne1]],Tableau124[#All],10,FALSE)</f>
        <v>03.81.83.22.74</v>
      </c>
      <c r="L10" s="368" t="str">
        <f>VLOOKUP(Tableau11[[#This Row],[Colonne1]],Tableau124[#All],11,FALSE)</f>
        <v>www.addictions-france.org</v>
      </c>
      <c r="M10" s="260" t="str">
        <f>VLOOKUP(Tableau11[[#This Row],[Colonne1]],Tableau124[#All],12,FALSE)</f>
        <v xml:space="preserve">Mardi de 9h à 20h, mercredi /jeudi de 9h à 18h, vendredi de 9h à 13h &gt; A MODIFIER </v>
      </c>
      <c r="N10" s="283" t="str">
        <f>VLOOKUP(Tableau11[[#This Row],[Colonne1]],Tableau124[#All],13,FALSE)</f>
        <v>- Accueil des familles ; 
- Orientation avec et sans rendez-vous ;
- CJC accessible à la famille et l'entourage ; 
Nous portons le dispositif TAPAJ</v>
      </c>
    </row>
    <row r="11" spans="1:15" ht="86.45" customHeight="1">
      <c r="B11" s="164">
        <v>67</v>
      </c>
      <c r="C11" s="111" t="str">
        <f>VLOOKUP(Tableau11[[#This Row],[Colonne1]],Tableau124[#All],2,FALSE)</f>
        <v>Doubs (25)</v>
      </c>
      <c r="D11" s="111" t="str">
        <f>VLOOKUP(Tableau11[[#This Row],[Colonne1]],Tableau124[#All],3,FALSE)</f>
        <v>Montbéliard</v>
      </c>
      <c r="E11" s="111">
        <f>VLOOKUP(Tableau11[[#This Row],[Colonne1]],Tableau124[#All],4,FALSE)</f>
        <v>25200</v>
      </c>
      <c r="F11" s="111" t="str">
        <f>VLOOKUP(Tableau11[[#This Row],[Colonne1]],Tableau124[#All],5,FALSE)</f>
        <v>CMP Adultes, 9 avenue Léon Blum</v>
      </c>
      <c r="G11" s="111" t="str">
        <f>VLOOKUP(Tableau11[[#This Row],[Colonne1]],Tableau124[#All],6,FALSE)</f>
        <v>Consultations Hospitalières externes d'addictologie</v>
      </c>
      <c r="H11" s="111" t="str">
        <f>VLOOKUP(Tableau11[[#This Row],[Colonne1]],Tableau124[#All],7,FALSE)</f>
        <v>AHBFC</v>
      </c>
      <c r="I11" s="111" t="str">
        <f>VLOOKUP(Tableau11[[#This Row],[Colonne1]],Tableau124[#All],8,FALSE)</f>
        <v>Associatif</v>
      </c>
      <c r="J11" s="311" t="str">
        <f>VLOOKUP(Tableau11[[#This Row],[Colonne1]],Tableau124[#All],9,FALSE)</f>
        <v>contact@ahbfc.fr</v>
      </c>
      <c r="K11" s="239" t="str">
        <f>VLOOKUP(Tableau11[[#This Row],[Colonne1]],Tableau124[#All],10,FALSE)</f>
        <v>03 81 90 76 10</v>
      </c>
      <c r="L11" s="311" t="str">
        <f>VLOOKUP(Tableau11[[#This Row],[Colonne1]],Tableau124[#All],11,FALSE)</f>
        <v>www.ahbfc.fr</v>
      </c>
      <c r="M11" s="129" t="str">
        <f>VLOOKUP(Tableau11[[#This Row],[Colonne1]],Tableau124[#All],12,FALSE)</f>
        <v>du lundi au vendredi après-midi (14h-17h), sur rendez-vous.</v>
      </c>
      <c r="N11" s="129" t="str">
        <f>VLOOKUP(Tableau11[[#This Row],[Colonne1]],Tableau124[#All],13,FALSE)</f>
        <v>Intervention auprès de public majeurs</v>
      </c>
    </row>
    <row r="12" spans="1:15" ht="86.45" customHeight="1">
      <c r="B12" s="164">
        <v>250</v>
      </c>
      <c r="C12" s="417" t="str">
        <f>VLOOKUP(Tableau11[[#This Row],[Colonne1]],Tableau124[#All],2,FALSE)</f>
        <v>Doubs (25)</v>
      </c>
      <c r="D12" s="417" t="str">
        <f>VLOOKUP(Tableau11[[#This Row],[Colonne1]],Tableau124[#All],3,FALSE)</f>
        <v>Novillars</v>
      </c>
      <c r="E12" s="417" t="str">
        <f>VLOOKUP(Tableau11[[#This Row],[Colonne1]],Tableau124[#All],4,FALSE)</f>
        <v>25000</v>
      </c>
      <c r="F12" s="417" t="str">
        <f>VLOOKUP(Tableau11[[#This Row],[Colonne1]],Tableau124[#All],5,FALSE)</f>
        <v>CMP Jules Vernes</v>
      </c>
      <c r="G12" s="417" t="str">
        <f>VLOOKUP(Tableau11[[#This Row],[Colonne1]],Tableau124[#All],6,FALSE)</f>
        <v>Consultations Hospitalières externes d'addictologie</v>
      </c>
      <c r="H12" s="417" t="str">
        <f>VLOOKUP(Tableau11[[#This Row],[Colonne1]],Tableau124[#All],7,FALSE)</f>
        <v xml:space="preserve">CH de Novillars </v>
      </c>
      <c r="I12" s="417" t="str">
        <f>VLOOKUP(Tableau11[[#This Row],[Colonne1]],Tableau124[#All],8,FALSE)</f>
        <v>Public</v>
      </c>
      <c r="J12" s="418" t="str">
        <f>VLOOKUP(Tableau11[[#This Row],[Colonne1]],Tableau124[#All],9,FALSE)</f>
        <v>cmp.julesverne@ch-novillars.fr</v>
      </c>
      <c r="K12" s="419" t="str">
        <f>VLOOKUP(Tableau11[[#This Row],[Colonne1]],Tableau124[#All],10,FALSE)</f>
        <v xml:space="preserve">03 81 40 38 00 </v>
      </c>
      <c r="L12" s="420" t="str">
        <f>VLOOKUP(Tableau11[[#This Row],[Colonne1]],Tableau124[#All],11,FALSE)</f>
        <v xml:space="preserve"> </v>
      </c>
      <c r="M12" s="417" t="str">
        <f>VLOOKUP(Tableau11[[#This Row],[Colonne1]],Tableau124[#All],12,FALSE)</f>
        <v>Vendredi après-midi</v>
      </c>
      <c r="N12" s="417" t="str">
        <f>VLOOKUP(Tableau11[[#This Row],[Colonne1]],Tableau124[#All],13,FALSE)</f>
        <v xml:space="preserve"> Consultation spécialisée en addictologie en vue d'une admission en soins hospitaliers pour sevrage complexe</v>
      </c>
    </row>
    <row r="13" spans="1:15" ht="86.45" customHeight="1">
      <c r="B13" s="164">
        <v>77</v>
      </c>
      <c r="C13" s="111" t="str">
        <f>VLOOKUP(Tableau11[[#This Row],[Colonne1]],Tableau124[#All],2,FALSE)</f>
        <v>Doubs (25)</v>
      </c>
      <c r="D13" s="111" t="str">
        <f>VLOOKUP(Tableau11[[#This Row],[Colonne1]],Tableau124[#All],3,FALSE)</f>
        <v>Pontarlier</v>
      </c>
      <c r="E13" s="111" t="str">
        <f>VLOOKUP(Tableau11[[#This Row],[Colonne1]],Tableau124[#All],4,FALSE)</f>
        <v>25300</v>
      </c>
      <c r="F13" s="111" t="str">
        <f>VLOOKUP(Tableau11[[#This Row],[Colonne1]],Tableau124[#All],5,FALSE)</f>
        <v>2 Fbg Saint-Etienne</v>
      </c>
      <c r="G13" s="111" t="str">
        <f>VLOOKUP(Tableau11[[#This Row],[Colonne1]],Tableau124[#All],6,FALSE)</f>
        <v>Consultations Hospitalières externes d'addictologie</v>
      </c>
      <c r="H13" s="111" t="str">
        <f>VLOOKUP(Tableau11[[#This Row],[Colonne1]],Tableau124[#All],7,FALSE)</f>
        <v>CHI-HC PONTARLIER</v>
      </c>
      <c r="I13" s="111" t="str">
        <f>VLOOKUP(Tableau11[[#This Row],[Colonne1]],Tableau124[#All],8,FALSE)</f>
        <v>Public</v>
      </c>
      <c r="J13" s="311" t="str">
        <f>VLOOKUP(Tableau11[[#This Row],[Colonne1]],Tableau124[#All],9,FALSE)</f>
        <v>csapa@chi-hc.fr</v>
      </c>
      <c r="K13" s="239" t="str">
        <f>VLOOKUP(Tableau11[[#This Row],[Colonne1]],Tableau124[#All],10,FALSE)</f>
        <v>03 81 38 53 64</v>
      </c>
      <c r="L13" s="314" t="str">
        <f>VLOOKUP(Tableau11[[#This Row],[Colonne1]],Tableau124[#All],11,FALSE)</f>
        <v xml:space="preserve"> </v>
      </c>
      <c r="M13" s="129" t="str">
        <f>VLOOKUP(Tableau11[[#This Row],[Colonne1]],Tableau124[#All],12,FALSE)</f>
        <v>Lundi, mardi et jeudi de 8 heures à 19 heures, mercredi et vendredi de 8 heures à 16 heures.</v>
      </c>
      <c r="N13" s="129" t="str">
        <f>VLOOKUP(Tableau11[[#This Row],[Colonne1]],Tableau124[#All],13,FALSE)</f>
        <v>Intervention auprès de public majeurs et mineurs</v>
      </c>
    </row>
    <row r="14" spans="1:15" ht="86.45" customHeight="1">
      <c r="B14" s="164">
        <v>51</v>
      </c>
      <c r="C14" s="111" t="str">
        <f>VLOOKUP(Tableau11[[#This Row],[Colonne1]],Tableau124[#All],2,FALSE)</f>
        <v>Doubs (25)</v>
      </c>
      <c r="D14" s="111" t="str">
        <f>VLOOKUP(Tableau11[[#This Row],[Colonne1]],Tableau124[#All],3,FALSE)</f>
        <v>Besançon</v>
      </c>
      <c r="E14" s="111" t="str">
        <f>VLOOKUP(Tableau11[[#This Row],[Colonne1]],Tableau124[#All],4,FALSE)</f>
        <v>25000</v>
      </c>
      <c r="F14" s="129" t="str">
        <f>VLOOKUP(Tableau11[[#This Row],[Colonne1]],Tableau124[#All],5,FALSE)</f>
        <v>Site Minjoz, 3 Boulevard ALexandre Fleming</v>
      </c>
      <c r="G14" s="111" t="str">
        <f>VLOOKUP(Tableau11[[#This Row],[Colonne1]],Tableau124[#All],6,FALSE)</f>
        <v>Consultations Hospitalières externes d'addictologie</v>
      </c>
      <c r="H14" s="129" t="str">
        <f>VLOOKUP(Tableau11[[#This Row],[Colonne1]],Tableau124[#All],7,FALSE)</f>
        <v>CHU Besançon</v>
      </c>
      <c r="I14" s="129" t="str">
        <f>VLOOKUP(Tableau11[[#This Row],[Colonne1]],Tableau124[#All],8,FALSE)</f>
        <v xml:space="preserve">Public </v>
      </c>
      <c r="J14" s="314"/>
      <c r="K14" s="314"/>
      <c r="L14" s="314"/>
      <c r="M14" s="129" t="str">
        <f>VLOOKUP(Tableau11[[#This Row],[Colonne1]],Tableau124[#All],12,FALSE)</f>
        <v>Mercredi après midi</v>
      </c>
      <c r="N14" s="129" t="str">
        <f>VLOOKUP(Tableau11[[#This Row],[Colonne1]],Tableau124[#All],13,FALSE)</f>
        <v>Consultation spécialisée dans les addictions comportementales</v>
      </c>
    </row>
    <row r="15" spans="1:15" ht="86.45" customHeight="1">
      <c r="B15" s="164">
        <v>78</v>
      </c>
      <c r="C15" s="111" t="str">
        <f>VLOOKUP(Tableau11[[#This Row],[Colonne1]],Tableau124[#All],2,FALSE)</f>
        <v>Doubs (25)</v>
      </c>
      <c r="D15" s="111" t="str">
        <f>VLOOKUP(Tableau11[[#This Row],[Colonne1]],Tableau124[#All],3,FALSE)</f>
        <v>Pontarlier</v>
      </c>
      <c r="E15" s="111">
        <f>VLOOKUP(Tableau11[[#This Row],[Colonne1]],Tableau124[#All],4,FALSE)</f>
        <v>25300</v>
      </c>
      <c r="F15" s="111" t="str">
        <f>VLOOKUP(Tableau11[[#This Row],[Colonne1]],Tableau124[#All],5,FALSE)</f>
        <v>2 Fbg Saint-Etienne</v>
      </c>
      <c r="G15" s="111" t="str">
        <f>VLOOKUP(Tableau11[[#This Row],[Colonne1]],Tableau124[#All],6,FALSE)</f>
        <v>Consultations Hospitalières externes d'addictologie (autre lieu d'intervention)</v>
      </c>
      <c r="H15" s="111" t="str">
        <f>VLOOKUP(Tableau11[[#This Row],[Colonne1]],Tableau124[#All],7,FALSE)</f>
        <v>CHI-HC PONTARLIER</v>
      </c>
      <c r="I15" s="111" t="str">
        <f>VLOOKUP(Tableau11[[#This Row],[Colonne1]],Tableau124[#All],8,FALSE)</f>
        <v>Public</v>
      </c>
      <c r="J15" s="311" t="str">
        <f>VLOOKUP(Tableau11[[#This Row],[Colonne1]],Tableau124[#All],9,FALSE)</f>
        <v>csapa@chi-hc.fr</v>
      </c>
      <c r="K15" s="239" t="str">
        <f>VLOOKUP(Tableau11[[#This Row],[Colonne1]],Tableau124[#All],10,FALSE)</f>
        <v>03 81 38 53 65</v>
      </c>
      <c r="L15" s="314" t="str">
        <f>VLOOKUP(Tableau11[[#This Row],[Colonne1]],Tableau124[#All],11,FALSE)</f>
        <v xml:space="preserve"> </v>
      </c>
      <c r="M15" s="129" t="str">
        <f>VLOOKUP(Tableau11[[#This Row],[Colonne1]],Tableau124[#All],12,FALSE)</f>
        <v>deux lundis après midi/mois</v>
      </c>
      <c r="N15" s="129" t="str">
        <f>VLOOKUP(Tableau11[[#This Row],[Colonne1]],Tableau124[#All],13,FALSE)</f>
        <v>Intervention auprès de public majeurs et mineurs ainsi qu'au CHI-HC Pontarlier</v>
      </c>
    </row>
    <row r="16" spans="1:15" ht="86.45" customHeight="1">
      <c r="B16" s="164">
        <v>79</v>
      </c>
      <c r="C16" s="156" t="str">
        <f>VLOOKUP(Tableau11[[#This Row],[Colonne1]],Tableau124[#All],2,FALSE)</f>
        <v>Doubs (25)</v>
      </c>
      <c r="D16" s="156" t="str">
        <f>VLOOKUP(Tableau11[[#This Row],[Colonne1]],Tableau124[#All],3,FALSE)</f>
        <v>Pontarlier</v>
      </c>
      <c r="E16" s="156" t="str">
        <f>VLOOKUP(Tableau11[[#This Row],[Colonne1]],Tableau124[#All],4,FALSE)</f>
        <v>25300</v>
      </c>
      <c r="F16" s="156" t="str">
        <f>VLOOKUP(Tableau11[[#This Row],[Colonne1]],Tableau124[#All],5,FALSE)</f>
        <v>9, rue Aristide Briand</v>
      </c>
      <c r="G16" s="156" t="str">
        <f>VLOOKUP(Tableau11[[#This Row],[Colonne1]],Tableau124[#All],6,FALSE)</f>
        <v>CSAPA</v>
      </c>
      <c r="H16" s="156" t="str">
        <f>VLOOKUP(Tableau11[[#This Row],[Colonne1]],Tableau124[#All],7,FALSE)</f>
        <v>CSAPA CHI-HC</v>
      </c>
      <c r="I16" s="156" t="str">
        <f>VLOOKUP(Tableau11[[#This Row],[Colonne1]],Tableau124[#All],8,FALSE)</f>
        <v>Public</v>
      </c>
      <c r="J16" s="318" t="str">
        <f>VLOOKUP(Tableau11[[#This Row],[Colonne1]],Tableau124[#All],9,FALSE)</f>
        <v>csapa@chi-hc.fr</v>
      </c>
      <c r="K16" s="238" t="str">
        <f>VLOOKUP(Tableau11[[#This Row],[Colonne1]],Tableau124[#All],10,FALSE)</f>
        <v>03 81 38 53 64</v>
      </c>
      <c r="L16" s="314" t="str">
        <f>VLOOKUP(Tableau11[[#This Row],[Colonne1]],Tableau124[#All],11,FALSE)</f>
        <v xml:space="preserve"> </v>
      </c>
      <c r="M16" s="101" t="str">
        <f>VLOOKUP(Tableau11[[#This Row],[Colonne1]],Tableau124[#All],12,FALSE)</f>
        <v>Lundi-Mardi-Jeudi de 8 heures à 19 heures 
Mercredi et Vendredi de 8 heures à 16 heures</v>
      </c>
      <c r="N16" s="284" t="str">
        <f>VLOOKUP(Tableau11[[#This Row],[Colonne1]],Tableau124[#All],13,FALSE)</f>
        <v>- réalisation de consultations avancées sur Morteau ;
- présence d'une CJC</v>
      </c>
    </row>
    <row r="17" spans="2:14" ht="86.45" customHeight="1">
      <c r="B17" s="164">
        <v>70</v>
      </c>
      <c r="C17" s="156" t="str">
        <f>VLOOKUP(Tableau11[[#This Row],[Colonne1]],Tableau124[#All],2,FALSE)</f>
        <v>Doubs (25)</v>
      </c>
      <c r="D17" s="156" t="str">
        <f>VLOOKUP(Tableau11[[#This Row],[Colonne1]],Tableau124[#All],3,FALSE)</f>
        <v>Morteau</v>
      </c>
      <c r="E17" s="156">
        <f>VLOOKUP(Tableau11[[#This Row],[Colonne1]],Tableau124[#All],4,FALSE)</f>
        <v>25500</v>
      </c>
      <c r="F17" s="156" t="str">
        <f>VLOOKUP(Tableau11[[#This Row],[Colonne1]],Tableau124[#All],5,FALSE)</f>
        <v>Hopital de Morteau, 9 Rue Maréchal Leclerc</v>
      </c>
      <c r="G17" s="156" t="str">
        <f>VLOOKUP(Tableau11[[#This Row],[Colonne1]],Tableau124[#All],6,FALSE)</f>
        <v>CSAPA (consultations avancées)</v>
      </c>
      <c r="H17" s="156" t="str">
        <f>VLOOKUP(Tableau11[[#This Row],[Colonne1]],Tableau124[#All],7,FALSE)</f>
        <v>CSAPA CHI-HC - consultations avancées</v>
      </c>
      <c r="I17" s="156" t="str">
        <f>VLOOKUP(Tableau11[[#This Row],[Colonne1]],Tableau124[#All],8,FALSE)</f>
        <v>Public</v>
      </c>
      <c r="J17" s="318" t="str">
        <f>VLOOKUP(Tableau11[[#This Row],[Colonne1]],Tableau124[#All],9,FALSE)</f>
        <v>csapa@chi-hc.fr</v>
      </c>
      <c r="K17" s="238" t="str">
        <f>VLOOKUP(Tableau11[[#This Row],[Colonne1]],Tableau124[#All],10,FALSE)</f>
        <v>03 81 38 53 64</v>
      </c>
      <c r="L17" s="314" t="str">
        <f>VLOOKUP(Tableau11[[#This Row],[Colonne1]],Tableau124[#All],11,FALSE)</f>
        <v xml:space="preserve"> </v>
      </c>
      <c r="M17" s="101" t="str">
        <f>VLOOKUP(Tableau11[[#This Row],[Colonne1]],Tableau124[#All],12,FALSE)</f>
        <v>Un lundi sur deux de 14 heures à 18h30</v>
      </c>
      <c r="N17" s="101" t="str">
        <f>VLOOKUP(Tableau11[[#This Row],[Colonne1]],Tableau124[#All],13,FALSE)</f>
        <v>Réalisation de consultations avancées</v>
      </c>
    </row>
    <row r="18" spans="2:14" ht="86.45" customHeight="1">
      <c r="B18" s="164">
        <v>82</v>
      </c>
      <c r="C18" s="228" t="str">
        <f>VLOOKUP(Tableau11[[#This Row],[Colonne1]],Tableau124[#All],2,FALSE)</f>
        <v>Doubs (25)</v>
      </c>
      <c r="D18" s="228" t="str">
        <f>VLOOKUP(Tableau11[[#This Row],[Colonne1]],Tableau124[#All],3,FALSE)</f>
        <v>Pontarlier</v>
      </c>
      <c r="E18" s="228" t="str">
        <f>VLOOKUP(Tableau11[[#This Row],[Colonne1]],Tableau124[#All],4,FALSE)</f>
        <v>25300</v>
      </c>
      <c r="F18" s="228" t="str">
        <f>VLOOKUP(Tableau11[[#This Row],[Colonne1]],Tableau124[#All],5,FALSE)</f>
        <v>Service de médecine B 
CHI-HC PONTARLIER, 2 Fbg Saint-Etienne</v>
      </c>
      <c r="G18" s="228" t="str">
        <f>VLOOKUP(Tableau11[[#This Row],[Colonne1]],Tableau124[#All],6,FALSE)</f>
        <v>Sevrage simple</v>
      </c>
      <c r="H18" s="228" t="str">
        <f>VLOOKUP(Tableau11[[#This Row],[Colonne1]],Tableau124[#All],7,FALSE)</f>
        <v>ELSA - CHI-HC PONTARLIER</v>
      </c>
      <c r="I18" s="228" t="str">
        <f>VLOOKUP(Tableau11[[#This Row],[Colonne1]],Tableau124[#All],8,FALSE)</f>
        <v>Public</v>
      </c>
      <c r="J18" s="335" t="str">
        <f>VLOOKUP(Tableau11[[#This Row],[Colonne1]],Tableau124[#All],9,FALSE)</f>
        <v>csapa@chi-hc.fr</v>
      </c>
      <c r="K18" s="406" t="str">
        <f>VLOOKUP(Tableau11[[#This Row],[Colonne1]],Tableau124[#All],10,FALSE)</f>
        <v>03 81 38 53 64</v>
      </c>
      <c r="L18" s="314" t="str">
        <f>VLOOKUP(Tableau11[[#This Row],[Colonne1]],Tableau124[#All],11,FALSE)</f>
        <v xml:space="preserve"> </v>
      </c>
      <c r="M18" s="257" t="str">
        <f>VLOOKUP(Tableau11[[#This Row],[Colonne1]],Tableau124[#All],12,FALSE)</f>
        <v xml:space="preserve">  </v>
      </c>
      <c r="N18" s="413" t="str">
        <f>VLOOKUP(Tableau11[[#This Row],[Colonne1]],Tableau124[#All],13,FALSE)</f>
        <v>- interventions auprès d'un public majeur ; 
- lits installés au sein d'une même unité ; 
- unité de service de médecine B</v>
      </c>
    </row>
    <row r="19" spans="2:14" ht="86.45" customHeight="1">
      <c r="B19" s="164">
        <v>81</v>
      </c>
      <c r="C19" s="407" t="str">
        <f>VLOOKUP(Tableau11[[#This Row],[Colonne1]],Tableau124[#All],2,FALSE)</f>
        <v>Doubs (25)</v>
      </c>
      <c r="D19" s="126" t="str">
        <f>VLOOKUP(Tableau11[[#This Row],[Colonne1]],Tableau124[#All],3,FALSE)</f>
        <v>Pontarlier</v>
      </c>
      <c r="E19" s="126" t="str">
        <f>VLOOKUP(Tableau11[[#This Row],[Colonne1]],Tableau124[#All],4,FALSE)</f>
        <v>25300</v>
      </c>
      <c r="F19" s="126" t="str">
        <f>VLOOKUP(Tableau11[[#This Row],[Colonne1]],Tableau124[#All],5,FALSE)</f>
        <v>CHI-HC PONTARLIER, Dans plusieurs services</v>
      </c>
      <c r="G19" s="128" t="str">
        <f>VLOOKUP(Tableau11[[#This Row],[Colonne1]],Tableau124[#All],6,FALSE)</f>
        <v>ELSA</v>
      </c>
      <c r="H19" s="126" t="str">
        <f>VLOOKUP(Tableau11[[#This Row],[Colonne1]],Tableau124[#All],7,FALSE)</f>
        <v>ELSA - CHI-HC PONTARLIER</v>
      </c>
      <c r="I19" s="126" t="str">
        <f>VLOOKUP(Tableau11[[#This Row],[Colonne1]],Tableau124[#All],8,FALSE)</f>
        <v>Public</v>
      </c>
      <c r="J19" s="328" t="str">
        <f>VLOOKUP(Tableau11[[#This Row],[Colonne1]],Tableau124[#All],9,FALSE)</f>
        <v>csapa@chi-hc.fr</v>
      </c>
      <c r="K19" s="373" t="str">
        <f>VLOOKUP(Tableau11[[#This Row],[Colonne1]],Tableau124[#All],10,FALSE)</f>
        <v>03 81 38 61 19</v>
      </c>
      <c r="L19" s="314" t="str">
        <f>VLOOKUP(Tableau11[[#This Row],[Colonne1]],Tableau124[#All],11,FALSE)</f>
        <v xml:space="preserve"> </v>
      </c>
      <c r="M19" s="258" t="str">
        <f>VLOOKUP(Tableau11[[#This Row],[Colonne1]],Tableau124[#All],12,FALSE)</f>
        <v xml:space="preserve">  </v>
      </c>
      <c r="N19" s="412" t="str">
        <f>VLOOKUP(Tableau11[[#This Row],[Colonne1]],Tableau124[#All],13,FALSE)</f>
        <v>- intervention auprès de public majeur ; 
- interventions dans l'ensemble des services du CHI-HC ( les 3 services de médecine, le service de chirurgie, la maternité, la pédiatrie néonat., l'UHTCD, les urgences et la psychiatrie)</v>
      </c>
    </row>
    <row r="20" spans="2:14" ht="86.45" customHeight="1">
      <c r="B20" s="164">
        <v>53</v>
      </c>
      <c r="C20" s="156" t="str">
        <f>VLOOKUP(Tableau11[[#This Row],[Colonne1]],Tableau124[#All],2,FALSE)</f>
        <v>Doubs (25)</v>
      </c>
      <c r="D20" s="156" t="str">
        <f>VLOOKUP(Tableau11[[#This Row],[Colonne1]],Tableau124[#All],3,FALSE)</f>
        <v>Besançon</v>
      </c>
      <c r="E20" s="156" t="str">
        <f>VLOOKUP(Tableau11[[#This Row],[Colonne1]],Tableau124[#All],4,FALSE)</f>
        <v>25000</v>
      </c>
      <c r="F20" s="156" t="str">
        <f>VLOOKUP(Tableau11[[#This Row],[Colonne1]],Tableau124[#All],5,FALSE)</f>
        <v>11 rue d'Alsace</v>
      </c>
      <c r="G20" s="156" t="str">
        <f>VLOOKUP(Tableau11[[#This Row],[Colonne1]],Tableau124[#All],6,FALSE)</f>
        <v>CSAPA</v>
      </c>
      <c r="H20" s="156" t="str">
        <f>VLOOKUP(Tableau11[[#This Row],[Colonne1]],Tableau124[#All],7,FALSE)</f>
        <v>CSAPA de Besançon - Association Addictions France</v>
      </c>
      <c r="I20" s="156" t="str">
        <f>VLOOKUP(Tableau11[[#This Row],[Colonne1]],Tableau124[#All],8,FALSE)</f>
        <v>Associatif</v>
      </c>
      <c r="J20" s="318" t="str">
        <f>VLOOKUP(Tableau11[[#This Row],[Colonne1]],Tableau124[#All],9,FALSE)</f>
        <v>csapa.besancon@addictions-france.org</v>
      </c>
      <c r="K20" s="238" t="str">
        <f>VLOOKUP(Tableau11[[#This Row],[Colonne1]],Tableau124[#All],10,FALSE)</f>
        <v>03.81.83.22.74</v>
      </c>
      <c r="L20" s="318" t="str">
        <f>VLOOKUP(Tableau11[[#This Row],[Colonne1]],Tableau124[#All],11,FALSE)</f>
        <v>www.addictions-france.org</v>
      </c>
      <c r="M20" s="101" t="str">
        <f>VLOOKUP(Tableau11[[#This Row],[Colonne1]],Tableau124[#All],12,FALSE)</f>
        <v>Lundi (9h/12h - 13h/16h30), Mardi (9h/12h - 13h/17h), Mercredi (9h/12h - 13h/17h), Jeudi (9h/12h - 13h/17h), Vendredi (14h30/16h)</v>
      </c>
      <c r="N20" s="284" t="str">
        <f>VLOOKUP(Tableau11[[#This Row],[Colonne1]],Tableau124[#All],13,FALSE)</f>
        <v>- Réalisation de consultations avancées sur Pontarlier, Morteau, Quingey, Chalezeule, Baumes les Dames et Besançon multi-sites ; 
- présence d'une CJC.</v>
      </c>
    </row>
    <row r="21" spans="2:14" ht="86.45" customHeight="1">
      <c r="B21" s="164">
        <v>68</v>
      </c>
      <c r="C21" s="226" t="str">
        <f>VLOOKUP(Tableau11[[#This Row],[Colonne1]],Tableau124[#All],2,FALSE)</f>
        <v>Doubs (25)</v>
      </c>
      <c r="D21" s="226" t="str">
        <f>VLOOKUP(Tableau11[[#This Row],[Colonne1]],Tableau124[#All],3,FALSE)</f>
        <v>Montbéliard</v>
      </c>
      <c r="E21" s="226" t="str">
        <f>VLOOKUP(Tableau11[[#This Row],[Colonne1]],Tableau124[#All],4,FALSE)</f>
        <v>25200</v>
      </c>
      <c r="F21" s="394" t="str">
        <f>VLOOKUP(Tableau11[[#This Row],[Colonne1]],Tableau124[#All],5,FALSE)</f>
        <v>40 Fbg de Besançon</v>
      </c>
      <c r="G21" s="226" t="str">
        <f>VLOOKUP(Tableau11[[#This Row],[Colonne1]],Tableau124[#All],6,FALSE)</f>
        <v>CSAPA</v>
      </c>
      <c r="H21" s="408" t="str">
        <f>VLOOKUP(Tableau11[[#This Row],[Colonne1]],Tableau124[#All],7,FALSE)</f>
        <v>CSAPA Le Relais Equinoxe - Association d'Hygiène Sociale de Franche Comté</v>
      </c>
      <c r="I21" s="408" t="str">
        <f>VLOOKUP(Tableau11[[#This Row],[Colonne1]],Tableau124[#All],8,FALSE)</f>
        <v>Associatif</v>
      </c>
      <c r="J21" s="608" t="str">
        <f>VLOOKUP(Tableau11[[#This Row],[Colonne1]],Tableau124[#All],9,FALSE)</f>
        <v>pole-addictologie.nfc@ahs-fc.fr</v>
      </c>
      <c r="K21" s="609" t="str">
        <f>VLOOKUP(Tableau11[[#This Row],[Colonne1]],Tableau124[#All],10,FALSE)</f>
        <v>03-81-91-09-22/
03-81-99-37-04</v>
      </c>
      <c r="L21" s="409" t="str">
        <f>VLOOKUP(Tableau11[[#This Row],[Colonne1]],Tableau124[#All],11,FALSE)</f>
        <v>www.ahs-fc.fr</v>
      </c>
      <c r="M21" s="261" t="str">
        <f>VLOOKUP(Tableau11[[#This Row],[Colonne1]],Tableau124[#All],12,FALSE)</f>
        <v>lundi : 11h - 17h
du mardi au vendredi : 9h - 17h
Consultations Jeunes Consommateurs : Samedi 9h-12h sur RV et sur les horaires du Csapa</v>
      </c>
      <c r="N21" s="285" t="str">
        <f>VLOOKUP(Tableau11[[#This Row],[Colonne1]],Tableau124[#All],13,FALSE)</f>
        <v>- Réalisation de consultations avancées sur Pont de Roide, Isle sur le Doubs, Delle et Ornans ;
- intervention en milieu pénitentiaire à la maison d'arrêt de Belfort et de Montébliard ;
- mise à disposition de matériel de consommation à moindre risque ;
- proposition de test rapide d'orientation diagnostic (TROD) ; 
- dispositifs anti-overdose à disposition ; 
- présence d'une CJC.</v>
      </c>
    </row>
    <row r="22" spans="2:14" ht="75" customHeight="1">
      <c r="B22" s="164">
        <v>65</v>
      </c>
      <c r="C22" s="221" t="str">
        <f>VLOOKUP(Tableau11[[#This Row],[Colonne1]],Tableau124[#All],2,FALSE)</f>
        <v>Doubs (25)</v>
      </c>
      <c r="D22" s="221" t="str">
        <f>VLOOKUP(Tableau11[[#This Row],[Colonne1]],Tableau124[#All],3,FALSE)</f>
        <v>Maiche</v>
      </c>
      <c r="E22" s="221">
        <f>VLOOKUP(Tableau11[[#This Row],[Colonne1]],Tableau124[#All],4,FALSE)</f>
        <v>25120</v>
      </c>
      <c r="F22" s="156" t="str">
        <f>VLOOKUP(Tableau11[[#This Row],[Colonne1]],Tableau124[#All],5,FALSE)</f>
        <v>23 rue Montalembert</v>
      </c>
      <c r="G22" s="221" t="str">
        <f>VLOOKUP(Tableau11[[#This Row],[Colonne1]],Tableau124[#All],6,FALSE)</f>
        <v>Antenne CSAPA</v>
      </c>
      <c r="H22" s="221" t="str">
        <f>VLOOKUP(Tableau11[[#This Row],[Colonne1]],Tableau124[#All],7,FALSE)</f>
        <v>CSAPA Le Relais Equinoxe - Association d'Hygiène Sociale de Franche Comté</v>
      </c>
      <c r="I22" s="221" t="str">
        <f>VLOOKUP(Tableau11[[#This Row],[Colonne1]],Tableau124[#All],8,FALSE)</f>
        <v>Associatif</v>
      </c>
      <c r="J22" s="317" t="str">
        <f>VLOOKUP(Tableau11[[#This Row],[Colonne1]],Tableau124[#All],9,FALSE)</f>
        <v>maiche.addictologie@gmail.com</v>
      </c>
      <c r="K22" s="244" t="str">
        <f>VLOOKUP(Tableau11[[#This Row],[Colonne1]],Tableau124[#All],10,FALSE)</f>
        <v>07-68-47-75-41</v>
      </c>
      <c r="L22" s="318" t="str">
        <f>VLOOKUP(Tableau11[[#This Row],[Colonne1]],Tableau124[#All],11,FALSE)</f>
        <v>www.ahs-fc.fr</v>
      </c>
      <c r="M22" s="101" t="str">
        <f>VLOOKUP(Tableau11[[#This Row],[Colonne1]],Tableau124[#All],12,FALSE)</f>
        <v>jeudi et vendredi de 10h à 17h</v>
      </c>
      <c r="N22" s="149" t="str">
        <f>VLOOKUP(Tableau11[[#This Row],[Colonne1]],Tableau124[#All],13,FALSE)</f>
        <v xml:space="preserve">  </v>
      </c>
    </row>
    <row r="23" spans="2:14" ht="86.45" customHeight="1">
      <c r="B23" s="164">
        <v>54</v>
      </c>
      <c r="C23" s="156" t="str">
        <f>VLOOKUP(Tableau11[[#This Row],[Colonne1]],Tableau124[#All],2,FALSE)</f>
        <v>Doubs (25)</v>
      </c>
      <c r="D23" s="156" t="str">
        <f>VLOOKUP(Tableau11[[#This Row],[Colonne1]],Tableau124[#All],3,FALSE)</f>
        <v>Besançon</v>
      </c>
      <c r="E23" s="156" t="str">
        <f>VLOOKUP(Tableau11[[#This Row],[Colonne1]],Tableau124[#All],4,FALSE)</f>
        <v>25000</v>
      </c>
      <c r="F23" s="156" t="str">
        <f>VLOOKUP(Tableau11[[#This Row],[Colonne1]],Tableau124[#All],5,FALSE)</f>
        <v>2 place René Payot</v>
      </c>
      <c r="G23" s="156" t="str">
        <f>VLOOKUP(Tableau11[[#This Row],[Colonne1]],Tableau124[#All],6,FALSE)</f>
        <v>CSAPA</v>
      </c>
      <c r="H23" s="156" t="str">
        <f>VLOOKUP(Tableau11[[#This Row],[Colonne1]],Tableau124[#All],7,FALSE)</f>
        <v>CSAPA SOLEA</v>
      </c>
      <c r="I23" s="156" t="str">
        <f>VLOOKUP(Tableau11[[#This Row],[Colonne1]],Tableau124[#All],8,FALSE)</f>
        <v>Associatif</v>
      </c>
      <c r="J23" s="318" t="str">
        <f>VLOOKUP(Tableau11[[#This Row],[Colonne1]],Tableau124[#All],9,FALSE)</f>
        <v>solea@addsea.fr</v>
      </c>
      <c r="K23" s="238" t="str">
        <f>VLOOKUP(Tableau11[[#This Row],[Colonne1]],Tableau124[#All],10,FALSE)</f>
        <v>0381830332</v>
      </c>
      <c r="L23" s="551" t="str">
        <f>VLOOKUP(Tableau11[[#This Row],[Colonne1]],Tableau124[#All],11,FALSE)</f>
        <v xml:space="preserve">solea.addsea.fr </v>
      </c>
      <c r="M23" s="101" t="str">
        <f>VLOOKUP(Tableau11[[#This Row],[Colonne1]],Tableau124[#All],12,FALSE)</f>
        <v>9h à 16h, fermeture les mardi après midi</v>
      </c>
      <c r="N23" s="284" t="str">
        <f>VLOOKUP(Tableau11[[#This Row],[Colonne1]],Tableau124[#All],13,FALSE)</f>
        <v>- Réalisation de consultations avancées sur Ornans, Valdahon, l'Isle-sur-le-Doubs ;
- Dispositif de soin résidentiel sous forme d'appartement relais à Besançon ;
- intervention en milieu festif ;
- Intervention en milieu pénitentiaire à la maison d'arrêt de Besançon et en centre de semi liberté ;
- mise à disposition de matériel de consommation à moindre risque ;
- dispositifs anti-overdose ;
- porteur d'une CJC.</v>
      </c>
    </row>
    <row r="24" spans="2:14" ht="86.45" customHeight="1">
      <c r="B24" s="164">
        <v>244</v>
      </c>
      <c r="C24" s="525" t="str">
        <f>VLOOKUP(Tableau11[[#This Row],[Colonne1]],Tableau124[#All],2,FALSE)</f>
        <v>Doubs (25)</v>
      </c>
      <c r="D24" s="525" t="str">
        <f>VLOOKUP(Tableau11[[#This Row],[Colonne1]],Tableau124[#All],3,FALSE)</f>
        <v>Besançon</v>
      </c>
      <c r="E24" s="525" t="str">
        <f>VLOOKUP(Tableau11[[#This Row],[Colonne1]],Tableau124[#All],4,FALSE)</f>
        <v>25000</v>
      </c>
      <c r="F24" s="525" t="str">
        <f>VLOOKUP(Tableau11[[#This Row],[Colonne1]],Tableau124[#All],5,FALSE)</f>
        <v xml:space="preserve">3 Rue Victor SELLIER </v>
      </c>
      <c r="G24" s="525" t="str">
        <f>VLOOKUP(Tableau11[[#This Row],[Colonne1]],Tableau124[#All],6,FALSE)</f>
        <v>EMA (équipe mobile en addictologie)</v>
      </c>
      <c r="H24" s="525" t="str">
        <f>VLOOKUP(Tableau11[[#This Row],[Colonne1]],Tableau124[#All],7,FALSE)</f>
        <v>CSAPA SOLEA - ADDSEA Bourgogne Franche Comté</v>
      </c>
      <c r="I24" s="525" t="str">
        <f>VLOOKUP(Tableau11[[#This Row],[Colonne1]],Tableau124[#All],8,FALSE)</f>
        <v>Associatif</v>
      </c>
      <c r="J24" s="526" t="str">
        <f>VLOOKUP(Tableau11[[#This Row],[Colonne1]],Tableau124[#All],9,FALSE)</f>
        <v>ema.doubs@gmail.com</v>
      </c>
      <c r="K24" s="527" t="str">
        <f>VLOOKUP(Tableau11[[#This Row],[Colonne1]],Tableau124[#All],10,FALSE)</f>
        <v>0381801217</v>
      </c>
      <c r="L24" s="314"/>
      <c r="M24" s="525" t="str">
        <f>VLOOKUP(Tableau11[[#This Row],[Colonne1]],Tableau124[#All],12,FALSE)</f>
        <v>lundi mardi après midi (14h 17h) et mercredi et jeudi toute la journée</v>
      </c>
      <c r="N24" s="525" t="str">
        <f>VLOOKUP(Tableau11[[#This Row],[Colonne1]],Tableau124[#All],13,FALSE)</f>
        <v xml:space="preserve">évaluation orientation, maraud travail de rue, visite à domicile et accompagnement physique vers le droit commun et les structure en addictologie, évaluation sociale psychologique et infirmière/orientation </v>
      </c>
    </row>
    <row r="25" spans="2:14" ht="86.45" customHeight="1">
      <c r="B25" s="164">
        <v>52</v>
      </c>
      <c r="C25" s="156" t="str">
        <f>VLOOKUP(Tableau11[[#This Row],[Colonne1]],Tableau124[#All],2,FALSE)</f>
        <v>Doubs (25)</v>
      </c>
      <c r="D25" s="156" t="str">
        <f>VLOOKUP(Tableau11[[#This Row],[Colonne1]],Tableau124[#All],3,FALSE)</f>
        <v>Besançon</v>
      </c>
      <c r="E25" s="156" t="str">
        <f>VLOOKUP(Tableau11[[#This Row],[Colonne1]],Tableau124[#All],4,FALSE)</f>
        <v>25000</v>
      </c>
      <c r="F25" s="156" t="str">
        <f>VLOOKUP(Tableau11[[#This Row],[Colonne1]],Tableau124[#All],5,FALSE)</f>
        <v>3 RUE CHAMPROND BP 181</v>
      </c>
      <c r="G25" s="156" t="str">
        <f>VLOOKUP(Tableau11[[#This Row],[Colonne1]],Tableau124[#All],6,FALSE)</f>
        <v>CSAPA (consultations avancées)</v>
      </c>
      <c r="H25" s="101" t="str">
        <f>VLOOKUP(Tableau11[[#This Row],[Colonne1]],Tableau124[#All],7,FALSE)</f>
        <v xml:space="preserve"> Boutique Jeanne Antide - CSAPA SOLEA</v>
      </c>
      <c r="I25" s="101" t="str">
        <f>VLOOKUP(Tableau11[[#This Row],[Colonne1]],Tableau124[#All],8,FALSE)</f>
        <v xml:space="preserve">Associatif </v>
      </c>
      <c r="J25" s="318" t="str">
        <f>VLOOKUP(Tableau11[[#This Row],[Colonne1]],Tableau124[#All],9,FALSE)</f>
        <v>solea@addsea.fr</v>
      </c>
      <c r="K25" s="532" t="str">
        <f>VLOOKUP(Tableau11[[#This Row],[Colonne1]],Tableau124[#All],10,FALSE)</f>
        <v>03 01 83 03 32</v>
      </c>
      <c r="L25" s="318" t="str">
        <f>VLOOKUP(Tableau11[[#This Row],[Colonne1]],Tableau124[#All],11,FALSE)</f>
        <v>addsea.fr</v>
      </c>
      <c r="M25" s="101" t="str">
        <f>VLOOKUP(Tableau11[[#This Row],[Colonne1]],Tableau124[#All],12,FALSE)</f>
        <v>Sur calendrier (vendredi matin)</v>
      </c>
      <c r="N25" s="101" t="str">
        <f>VLOOKUP(Tableau11[[#This Row],[Colonne1]],Tableau124[#All],13,FALSE)</f>
        <v xml:space="preserve"> </v>
      </c>
    </row>
    <row r="26" spans="2:14" ht="86.45" customHeight="1">
      <c r="B26" s="164">
        <v>58</v>
      </c>
      <c r="C26" s="156" t="str">
        <f>VLOOKUP(Tableau11[[#This Row],[Colonne1]],Tableau124[#All],2,FALSE)</f>
        <v>Doubs (25)</v>
      </c>
      <c r="D26" s="156" t="str">
        <f>VLOOKUP(Tableau11[[#This Row],[Colonne1]],Tableau124[#All],3,FALSE)</f>
        <v>Besançon</v>
      </c>
      <c r="E26" s="156">
        <f>VLOOKUP(Tableau11[[#This Row],[Colonne1]],Tableau124[#All],4,FALSE)</f>
        <v>25000</v>
      </c>
      <c r="F26" s="156" t="str">
        <f>VLOOKUP(Tableau11[[#This Row],[Colonne1]],Tableau124[#All],5,FALSE)</f>
        <v>Maison d'arrêt de Besançon, rue Pergaud</v>
      </c>
      <c r="G26" s="156" t="str">
        <f>VLOOKUP(Tableau11[[#This Row],[Colonne1]],Tableau124[#All],6,FALSE)</f>
        <v>CSAPA (consultations avancées)</v>
      </c>
      <c r="H26" s="156" t="str">
        <f>VLOOKUP(Tableau11[[#This Row],[Colonne1]],Tableau124[#All],7,FALSE)</f>
        <v>CSAPA SOLEA</v>
      </c>
      <c r="I26" s="156" t="str">
        <f>VLOOKUP(Tableau11[[#This Row],[Colonne1]],Tableau124[#All],8,FALSE)</f>
        <v>Associatif</v>
      </c>
      <c r="J26" s="322" t="str">
        <f>VLOOKUP(Tableau11[[#This Row],[Colonne1]],Tableau124[#All],9,FALSE)</f>
        <v>csapa.besancon@addictions-france.org</v>
      </c>
      <c r="K26" s="243" t="str">
        <f>VLOOKUP(Tableau11[[#This Row],[Colonne1]],Tableau124[#All],10,FALSE)</f>
        <v>03.81.83.22.81</v>
      </c>
      <c r="L26" s="322" t="str">
        <f>VLOOKUP(Tableau11[[#This Row],[Colonne1]],Tableau124[#All],11,FALSE)</f>
        <v>www.addictions-france.org</v>
      </c>
      <c r="M26" s="156" t="str">
        <f>VLOOKUP(Tableau11[[#This Row],[Colonne1]],Tableau124[#All],12,FALSE)</f>
        <v xml:space="preserve">Lundi et jeudi après-midi / mercredi matin </v>
      </c>
      <c r="N26" s="226" t="str">
        <f>VLOOKUP(Tableau11[[#This Row],[Colonne1]],Tableau124[#All],13,FALSE)</f>
        <v>Réalisation de consultations avancées</v>
      </c>
    </row>
    <row r="27" spans="2:14" ht="86.45" customHeight="1">
      <c r="B27" s="164">
        <v>64</v>
      </c>
      <c r="C27" s="156" t="str">
        <f>VLOOKUP(Tableau11[[#This Row],[Colonne1]],Tableau124[#All],2,FALSE)</f>
        <v>Doubs (25)</v>
      </c>
      <c r="D27" s="156" t="str">
        <f>VLOOKUP(Tableau11[[#This Row],[Colonne1]],Tableau124[#All],3,FALSE)</f>
        <v>L'Isle Sur Le Doubs</v>
      </c>
      <c r="E27" s="156">
        <f>VLOOKUP(Tableau11[[#This Row],[Colonne1]],Tableau124[#All],4,FALSE)</f>
        <v>25250</v>
      </c>
      <c r="F27" s="156" t="str">
        <f>VLOOKUP(Tableau11[[#This Row],[Colonne1]],Tableau124[#All],5,FALSE)</f>
        <v>Isle Santé 54 Rue du Magny</v>
      </c>
      <c r="G27" s="156" t="str">
        <f>VLOOKUP(Tableau11[[#This Row],[Colonne1]],Tableau124[#All],6,FALSE)</f>
        <v>CSAPA (consultations avancées)</v>
      </c>
      <c r="H27" s="156" t="str">
        <f>VLOOKUP(Tableau11[[#This Row],[Colonne1]],Tableau124[#All],7,FALSE)</f>
        <v>CSAPA SOLEA - ADDSEA Bourgogne Franche Comté - consultations avancées</v>
      </c>
      <c r="I27" s="156" t="str">
        <f>VLOOKUP(Tableau11[[#This Row],[Colonne1]],Tableau124[#All],8,FALSE)</f>
        <v>Associatif</v>
      </c>
      <c r="J27" s="318" t="str">
        <f>VLOOKUP(Tableau11[[#This Row],[Colonne1]],Tableau124[#All],9,FALSE)</f>
        <v>solea@addsea.fr</v>
      </c>
      <c r="K27" s="238" t="str">
        <f>VLOOKUP(Tableau11[[#This Row],[Colonne1]],Tableau124[#All],10,FALSE)</f>
        <v>03 81 83 03 32</v>
      </c>
      <c r="L27" s="314" t="str">
        <f>VLOOKUP(Tableau11[[#This Row],[Colonne1]],Tableau124[#All],11,FALSE)</f>
        <v xml:space="preserve"> </v>
      </c>
      <c r="M27" s="101" t="str">
        <f>VLOOKUP(Tableau11[[#This Row],[Colonne1]],Tableau124[#All],12,FALSE)</f>
        <v>semaine impaire de 9h à 17h</v>
      </c>
      <c r="N27" s="262" t="str">
        <f>VLOOKUP(Tableau11[[#This Row],[Colonne1]],Tableau124[#All],13,FALSE)</f>
        <v>Réalisation de consultations avancées</v>
      </c>
    </row>
    <row r="28" spans="2:14" ht="86.45" customHeight="1">
      <c r="B28" s="164">
        <v>74</v>
      </c>
      <c r="C28" s="221" t="str">
        <f>VLOOKUP(Tableau11[[#This Row],[Colonne1]],Tableau124[#All],2,FALSE)</f>
        <v>Doubs (25)</v>
      </c>
      <c r="D28" s="221" t="str">
        <f>VLOOKUP(Tableau11[[#This Row],[Colonne1]],Tableau124[#All],3,FALSE)</f>
        <v>Ornans</v>
      </c>
      <c r="E28" s="221">
        <f>VLOOKUP(Tableau11[[#This Row],[Colonne1]],Tableau124[#All],4,FALSE)</f>
        <v>25290</v>
      </c>
      <c r="F28" s="156" t="str">
        <f>VLOOKUP(Tableau11[[#This Row],[Colonne1]],Tableau124[#All],5,FALSE)</f>
        <v>32 Rue Jacques Gervais</v>
      </c>
      <c r="G28" s="221" t="str">
        <f>VLOOKUP(Tableau11[[#This Row],[Colonne1]],Tableau124[#All],6,FALSE)</f>
        <v>CSAPA (consultations avancées)</v>
      </c>
      <c r="H28" s="221" t="str">
        <f>VLOOKUP(Tableau11[[#This Row],[Colonne1]],Tableau124[#All],7,FALSE)</f>
        <v>CSAPA SOLEA - ADDSEA Bourgogne Franche Comté - consultations avancées</v>
      </c>
      <c r="I28" s="221" t="str">
        <f>VLOOKUP(Tableau11[[#This Row],[Colonne1]],Tableau124[#All],8,FALSE)</f>
        <v>Associatif</v>
      </c>
      <c r="J28" s="317" t="str">
        <f>VLOOKUP(Tableau11[[#This Row],[Colonne1]],Tableau124[#All],9,FALSE)</f>
        <v>solea@addsea.fr</v>
      </c>
      <c r="K28" s="244">
        <f>VLOOKUP(Tableau11[[#This Row],[Colonne1]],Tableau124[#All],10,FALSE)</f>
        <v>381830332</v>
      </c>
      <c r="L28" s="315" t="str">
        <f>VLOOKUP(Tableau11[[#This Row],[Colonne1]],Tableau124[#All],11,FALSE)</f>
        <v xml:space="preserve"> </v>
      </c>
      <c r="M28" s="105" t="str">
        <f>VLOOKUP(Tableau11[[#This Row],[Colonne1]],Tableau124[#All],12,FALSE)</f>
        <v>une semaine sur deux de 9h à 17h</v>
      </c>
      <c r="N28" s="262" t="str">
        <f>VLOOKUP(Tableau11[[#This Row],[Colonne1]],Tableau124[#All],13,FALSE)</f>
        <v>Réalisation de consultations avancées</v>
      </c>
    </row>
    <row r="29" spans="2:14" ht="86.45" customHeight="1">
      <c r="B29" s="164">
        <v>84</v>
      </c>
      <c r="C29" s="221" t="str">
        <f>VLOOKUP(Tableau11[[#This Row],[Colonne1]],Tableau124[#All],2,FALSE)</f>
        <v>Doubs (25)</v>
      </c>
      <c r="D29" s="221" t="str">
        <f>VLOOKUP(Tableau11[[#This Row],[Colonne1]],Tableau124[#All],3,FALSE)</f>
        <v>Valdahon</v>
      </c>
      <c r="E29" s="221">
        <f>VLOOKUP(Tableau11[[#This Row],[Colonne1]],Tableau124[#All],4,FALSE)</f>
        <v>25800</v>
      </c>
      <c r="F29" s="221" t="str">
        <f>VLOOKUP(Tableau11[[#This Row],[Colonne1]],Tableau124[#All],5,FALSE)</f>
        <v>Maison des Services 5 place de Gén de Gaulle</v>
      </c>
      <c r="G29" s="221" t="str">
        <f>VLOOKUP(Tableau11[[#This Row],[Colonne1]],Tableau124[#All],6,FALSE)</f>
        <v>CSAPA (consultations avancées)</v>
      </c>
      <c r="H29" s="221" t="str">
        <f>VLOOKUP(Tableau11[[#This Row],[Colonne1]],Tableau124[#All],7,FALSE)</f>
        <v>CSAPA SOLEA - ADDSEA Bourgogne Franche Comté - consultations avancées</v>
      </c>
      <c r="I29" s="221" t="str">
        <f>VLOOKUP(Tableau11[[#This Row],[Colonne1]],Tableau124[#All],8,FALSE)</f>
        <v>Associatif</v>
      </c>
      <c r="J29" s="317" t="str">
        <f>VLOOKUP(Tableau11[[#This Row],[Colonne1]],Tableau124[#All],9,FALSE)</f>
        <v>solea@addsea.fr</v>
      </c>
      <c r="K29" s="244">
        <f>VLOOKUP(Tableau11[[#This Row],[Colonne1]],Tableau124[#All],10,FALSE)</f>
        <v>381830332</v>
      </c>
      <c r="L29" s="315" t="str">
        <f>VLOOKUP(Tableau11[[#This Row],[Colonne1]],Tableau124[#All],11,FALSE)</f>
        <v xml:space="preserve"> </v>
      </c>
      <c r="M29" s="105" t="str">
        <f>VLOOKUP(Tableau11[[#This Row],[Colonne1]],Tableau124[#All],12,FALSE)</f>
        <v>semaine impaire de 9h à 17h</v>
      </c>
      <c r="N29" s="262" t="str">
        <f>VLOOKUP(Tableau11[[#This Row],[Colonne1]],Tableau124[#All],13,FALSE)</f>
        <v>Réalisation de consultations avancées</v>
      </c>
    </row>
    <row r="30" spans="2:14" ht="86.45" customHeight="1">
      <c r="B30" s="164">
        <v>50</v>
      </c>
      <c r="C30" s="212" t="str">
        <f>VLOOKUP(Tableau11[[#This Row],[Colonne1]],Tableau124[#All],2,FALSE)</f>
        <v>Doubs (25)</v>
      </c>
      <c r="D30" s="212" t="str">
        <f>VLOOKUP(Tableau11[[#This Row],[Colonne1]],Tableau124[#All],3,FALSE)</f>
        <v>Besançon</v>
      </c>
      <c r="E30" s="212" t="str">
        <f>VLOOKUP(Tableau11[[#This Row],[Colonne1]],Tableau124[#All],4,FALSE)</f>
        <v>25000</v>
      </c>
      <c r="F30" s="212" t="str">
        <f>VLOOKUP(Tableau11[[#This Row],[Colonne1]],Tableau124[#All],5,FALSE)</f>
        <v xml:space="preserve">3 Rue Victor SELLIER </v>
      </c>
      <c r="G30" s="212" t="str">
        <f>VLOOKUP(Tableau11[[#This Row],[Colonne1]],Tableau124[#All],6,FALSE)</f>
        <v>CJC</v>
      </c>
      <c r="H30" s="212" t="str">
        <f>VLOOKUP(Tableau11[[#This Row],[Colonne1]],Tableau124[#All],7,FALSE)</f>
        <v>CSAPA SOLEA - ADDSEA Bourgogne Franche Comté</v>
      </c>
      <c r="I30" s="212" t="str">
        <f>VLOOKUP(Tableau11[[#This Row],[Colonne1]],Tableau124[#All],8,FALSE)</f>
        <v>Associatif</v>
      </c>
      <c r="J30" s="368" t="str">
        <f>VLOOKUP(Tableau11[[#This Row],[Colonne1]],Tableau124[#All],9,FALSE)</f>
        <v>solea-bis@addsea.fr</v>
      </c>
      <c r="K30" s="241" t="str">
        <f>VLOOKUP(Tableau11[[#This Row],[Colonne1]],Tableau124[#All],10,FALSE)</f>
        <v>0381801217</v>
      </c>
      <c r="L30" s="314" t="str">
        <f>VLOOKUP(Tableau11[[#This Row],[Colonne1]],Tableau124[#All],11,FALSE)</f>
        <v xml:space="preserve"> </v>
      </c>
      <c r="M30" s="260" t="str">
        <f>VLOOKUP(Tableau11[[#This Row],[Colonne1]],Tableau124[#All],12,FALSE)</f>
        <v>fermé le lundi, 
mardi 9h/20h, mercredi 
jeudi 9h/18h
vendredi 9h/13h</v>
      </c>
      <c r="N30" s="283" t="str">
        <f>VLOOKUP(Tableau11[[#This Row],[Colonne1]],Tableau124[#All],13,FALSE)</f>
        <v xml:space="preserve">- Accueil des familles ; 
- Orientation sur rendez-vous ;
- CJC accessible à la famille et l'entourage ; 
Intervention a la Boutique Jeanne Antide (solea)
 EMA (Equipe Mobile en Addictologie)
Nous portons le dispositif TAPAJ &gt; centre de soins et non CJC &gt; concerne solea </v>
      </c>
    </row>
    <row r="31" spans="2:14" ht="86.45" customHeight="1">
      <c r="B31" s="164">
        <v>46</v>
      </c>
      <c r="C31" s="156" t="str">
        <f>VLOOKUP(Tableau11[[#This Row],[Colonne1]],Tableau124[#All],2,FALSE)</f>
        <v>Doubs (25)</v>
      </c>
      <c r="D31" s="156" t="str">
        <f>VLOOKUP(Tableau11[[#This Row],[Colonne1]],Tableau124[#All],3,FALSE)</f>
        <v>Baumes Les Dames</v>
      </c>
      <c r="E31" s="156">
        <f>VLOOKUP(Tableau11[[#This Row],[Colonne1]],Tableau124[#All],4,FALSE)</f>
        <v>25110</v>
      </c>
      <c r="F31" s="156" t="str">
        <f>VLOOKUP(Tableau11[[#This Row],[Colonne1]],Tableau124[#All],5,FALSE)</f>
        <v>CMS Baumes les Dames, 2 rue des Frères Grenier</v>
      </c>
      <c r="G31" s="156" t="str">
        <f>VLOOKUP(Tableau11[[#This Row],[Colonne1]],Tableau124[#All],6,FALSE)</f>
        <v>CSAPA (consultations avancées)</v>
      </c>
      <c r="H31" s="156" t="str">
        <f>VLOOKUP(Tableau11[[#This Row],[Colonne1]],Tableau124[#All],7,FALSE)</f>
        <v>CSAPA de Besançon - Association Addictions France - consultations avancées</v>
      </c>
      <c r="I31" s="156" t="str">
        <f>VLOOKUP(Tableau11[[#This Row],[Colonne1]],Tableau124[#All],8,FALSE)</f>
        <v>Associatif</v>
      </c>
      <c r="J31" s="318" t="str">
        <f>VLOOKUP(Tableau11[[#This Row],[Colonne1]],Tableau124[#All],9,FALSE)</f>
        <v>csapa.besancon@addictions-france.org</v>
      </c>
      <c r="K31" s="238" t="str">
        <f>VLOOKUP(Tableau11[[#This Row],[Colonne1]],Tableau124[#All],10,FALSE)</f>
        <v>03.81.83.22.79</v>
      </c>
      <c r="L31" s="318" t="str">
        <f>VLOOKUP(Tableau11[[#This Row],[Colonne1]],Tableau124[#All],11,FALSE)</f>
        <v>www.addictions-france.org</v>
      </c>
      <c r="M31" s="101" t="str">
        <f>VLOOKUP(Tableau11[[#This Row],[Colonne1]],Tableau124[#All],12,FALSE)</f>
        <v>Un mardi toute les trois semaines de 9h à 12h et de 13h30 à 17h</v>
      </c>
      <c r="N31" s="101" t="str">
        <f>VLOOKUP(Tableau11[[#This Row],[Colonne1]],Tableau124[#All],13,FALSE)</f>
        <v>Réalisation de consultations avancées</v>
      </c>
    </row>
    <row r="32" spans="2:14" ht="86.45" customHeight="1">
      <c r="B32" s="164">
        <v>55</v>
      </c>
      <c r="C32" s="156" t="str">
        <f>VLOOKUP(Tableau11[[#This Row],[Colonne1]],Tableau124[#All],2,FALSE)</f>
        <v>Doubs (25)</v>
      </c>
      <c r="D32" s="156" t="str">
        <f>VLOOKUP(Tableau11[[#This Row],[Colonne1]],Tableau124[#All],3,FALSE)</f>
        <v>Besançon</v>
      </c>
      <c r="E32" s="156">
        <f>VLOOKUP(Tableau11[[#This Row],[Colonne1]],Tableau124[#All],4,FALSE)</f>
        <v>25000</v>
      </c>
      <c r="F32" s="156" t="str">
        <f>VLOOKUP(Tableau11[[#This Row],[Colonne1]],Tableau124[#All],5,FALSE)</f>
        <v>SAAS, 10 rue Champrond</v>
      </c>
      <c r="G32" s="156" t="str">
        <f>VLOOKUP(Tableau11[[#This Row],[Colonne1]],Tableau124[#All],6,FALSE)</f>
        <v>CSAPA (consultations avancées)</v>
      </c>
      <c r="H32" s="156" t="str">
        <f>VLOOKUP(Tableau11[[#This Row],[Colonne1]],Tableau124[#All],7,FALSE)</f>
        <v>CSAPA de Besançon - Association Addictions France - consultations avancées</v>
      </c>
      <c r="I32" s="156" t="str">
        <f>VLOOKUP(Tableau11[[#This Row],[Colonne1]],Tableau124[#All],8,FALSE)</f>
        <v>Associatif</v>
      </c>
      <c r="J32" s="318" t="str">
        <f>VLOOKUP(Tableau11[[#This Row],[Colonne1]],Tableau124[#All],9,FALSE)</f>
        <v>csapa.besancon@addictions-france.org</v>
      </c>
      <c r="K32" s="238" t="str">
        <f>VLOOKUP(Tableau11[[#This Row],[Colonne1]],Tableau124[#All],10,FALSE)</f>
        <v>03.81.83.22.83</v>
      </c>
      <c r="L32" s="318" t="str">
        <f>VLOOKUP(Tableau11[[#This Row],[Colonne1]],Tableau124[#All],11,FALSE)</f>
        <v>www.addictions-france.org</v>
      </c>
      <c r="M32" s="101" t="str">
        <f>VLOOKUP(Tableau11[[#This Row],[Colonne1]],Tableau124[#All],12,FALSE)</f>
        <v>Vendredi de 9h à 11h30</v>
      </c>
      <c r="N32" s="101" t="str">
        <f>VLOOKUP(Tableau11[[#This Row],[Colonne1]],Tableau124[#All],13,FALSE)</f>
        <v>Réalisation de consultations avancées</v>
      </c>
    </row>
    <row r="33" spans="2:14" ht="86.45" customHeight="1">
      <c r="B33" s="164">
        <v>56</v>
      </c>
      <c r="C33" s="156" t="str">
        <f>VLOOKUP(Tableau11[[#This Row],[Colonne1]],Tableau124[#All],2,FALSE)</f>
        <v>Doubs (25)</v>
      </c>
      <c r="D33" s="156" t="str">
        <f>VLOOKUP(Tableau11[[#This Row],[Colonne1]],Tableau124[#All],3,FALSE)</f>
        <v>Besançon</v>
      </c>
      <c r="E33" s="156">
        <f>VLOOKUP(Tableau11[[#This Row],[Colonne1]],Tableau124[#All],4,FALSE)</f>
        <v>25000</v>
      </c>
      <c r="F33" s="156" t="str">
        <f>VLOOKUP(Tableau11[[#This Row],[Colonne1]],Tableau124[#All],5,FALSE)</f>
        <v>Boutique Jeanne Antide, 3 rue Champrond</v>
      </c>
      <c r="G33" s="156" t="str">
        <f>VLOOKUP(Tableau11[[#This Row],[Colonne1]],Tableau124[#All],6,FALSE)</f>
        <v>CSAPA (consultations avancées)</v>
      </c>
      <c r="H33" s="156" t="str">
        <f>VLOOKUP(Tableau11[[#This Row],[Colonne1]],Tableau124[#All],7,FALSE)</f>
        <v>CSAPA de Besançon - Association Addictions France - consultations avancées</v>
      </c>
      <c r="I33" s="156" t="str">
        <f>VLOOKUP(Tableau11[[#This Row],[Colonne1]],Tableau124[#All],8,FALSE)</f>
        <v>Associatif</v>
      </c>
      <c r="J33" s="318" t="str">
        <f>VLOOKUP(Tableau11[[#This Row],[Colonne1]],Tableau124[#All],9,FALSE)</f>
        <v>csapa.besancon@addictions-france.org</v>
      </c>
      <c r="K33" s="238" t="str">
        <f>VLOOKUP(Tableau11[[#This Row],[Colonne1]],Tableau124[#All],10,FALSE)</f>
        <v>03.81.83.22.84</v>
      </c>
      <c r="L33" s="318" t="str">
        <f>VLOOKUP(Tableau11[[#This Row],[Colonne1]],Tableau124[#All],11,FALSE)</f>
        <v>www.addictions-france.org</v>
      </c>
      <c r="M33" s="101" t="str">
        <f>VLOOKUP(Tableau11[[#This Row],[Colonne1]],Tableau124[#All],12,FALSE)</f>
        <v>Mardi de 10h30 à 11h30</v>
      </c>
      <c r="N33" s="101" t="str">
        <f>VLOOKUP(Tableau11[[#This Row],[Colonne1]],Tableau124[#All],13,FALSE)</f>
        <v>Réalisation de consultations avancées</v>
      </c>
    </row>
    <row r="34" spans="2:14" ht="86.45" customHeight="1">
      <c r="B34" s="164">
        <v>57</v>
      </c>
      <c r="C34" s="221" t="str">
        <f>VLOOKUP(Tableau11[[#This Row],[Colonne1]],Tableau124[#All],2,FALSE)</f>
        <v>Doubs (25)</v>
      </c>
      <c r="D34" s="221" t="str">
        <f>VLOOKUP(Tableau11[[#This Row],[Colonne1]],Tableau124[#All],3,FALSE)</f>
        <v>Besançon</v>
      </c>
      <c r="E34" s="221">
        <f>VLOOKUP(Tableau11[[#This Row],[Colonne1]],Tableau124[#All],4,FALSE)</f>
        <v>25000</v>
      </c>
      <c r="F34" s="156" t="str">
        <f>VLOOKUP(Tableau11[[#This Row],[Colonne1]],Tableau124[#All],5,FALSE)</f>
        <v>Résidence l'AGORA, 2 rue Pierre Mesnage</v>
      </c>
      <c r="G34" s="221" t="str">
        <f>VLOOKUP(Tableau11[[#This Row],[Colonne1]],Tableau124[#All],6,FALSE)</f>
        <v>CSAPA (consultations avancées)</v>
      </c>
      <c r="H34" s="221" t="str">
        <f>VLOOKUP(Tableau11[[#This Row],[Colonne1]],Tableau124[#All],7,FALSE)</f>
        <v>CSAPA de Besançon - Association Addictions France - consultations avancées</v>
      </c>
      <c r="I34" s="221" t="str">
        <f>VLOOKUP(Tableau11[[#This Row],[Colonne1]],Tableau124[#All],8,FALSE)</f>
        <v>Associatif</v>
      </c>
      <c r="J34" s="319" t="str">
        <f>VLOOKUP(Tableau11[[#This Row],[Colonne1]],Tableau124[#All],9,FALSE)</f>
        <v>csapa.besancon@addictions-france.org</v>
      </c>
      <c r="K34" s="251" t="str">
        <f>VLOOKUP(Tableau11[[#This Row],[Colonne1]],Tableau124[#All],10,FALSE)</f>
        <v>03.81.83.22.80</v>
      </c>
      <c r="L34" s="319" t="str">
        <f>VLOOKUP(Tableau11[[#This Row],[Colonne1]],Tableau124[#All],11,FALSE)</f>
        <v>www.addictions-france.org</v>
      </c>
      <c r="M34" s="221" t="str">
        <f>VLOOKUP(Tableau11[[#This Row],[Colonne1]],Tableau124[#All],12,FALSE)</f>
        <v>Mercredi de 10h à 12h</v>
      </c>
      <c r="N34" s="226" t="str">
        <f>VLOOKUP(Tableau11[[#This Row],[Colonne1]],Tableau124[#All],13,FALSE)</f>
        <v>Réalisation de consultations avancées</v>
      </c>
    </row>
    <row r="35" spans="2:14" ht="86.45" customHeight="1">
      <c r="B35" s="164">
        <v>59</v>
      </c>
      <c r="C35" s="156" t="str">
        <f>VLOOKUP(Tableau11[[#This Row],[Colonne1]],Tableau124[#All],2,FALSE)</f>
        <v>Doubs (25)</v>
      </c>
      <c r="D35" s="156" t="str">
        <f>VLOOKUP(Tableau11[[#This Row],[Colonne1]],Tableau124[#All],3,FALSE)</f>
        <v>Besançon</v>
      </c>
      <c r="E35" s="156">
        <f>VLOOKUP(Tableau11[[#This Row],[Colonne1]],Tableau124[#All],4,FALSE)</f>
        <v>25000</v>
      </c>
      <c r="F35" s="156" t="str">
        <f>VLOOKUP(Tableau11[[#This Row],[Colonne1]],Tableau124[#All],5,FALSE)</f>
        <v>Résidence sociale ADOMA, 12 rue Saint Martin</v>
      </c>
      <c r="G35" s="156" t="str">
        <f>VLOOKUP(Tableau11[[#This Row],[Colonne1]],Tableau124[#All],6,FALSE)</f>
        <v>CSAPA (consultations avancées)</v>
      </c>
      <c r="H35" s="156" t="str">
        <f>VLOOKUP(Tableau11[[#This Row],[Colonne1]],Tableau124[#All],7,FALSE)</f>
        <v>CSAPA de Besançon - Association Addictions France - consultations avancées</v>
      </c>
      <c r="I35" s="156" t="str">
        <f>VLOOKUP(Tableau11[[#This Row],[Colonne1]],Tableau124[#All],8,FALSE)</f>
        <v>Associatif</v>
      </c>
      <c r="J35" s="322" t="str">
        <f>VLOOKUP(Tableau11[[#This Row],[Colonne1]],Tableau124[#All],9,FALSE)</f>
        <v>csapa.besancon@addictions-france.org</v>
      </c>
      <c r="K35" s="243" t="str">
        <f>VLOOKUP(Tableau11[[#This Row],[Colonne1]],Tableau124[#All],10,FALSE)</f>
        <v>03.81.83.22.82</v>
      </c>
      <c r="L35" s="322" t="str">
        <f>VLOOKUP(Tableau11[[#This Row],[Colonne1]],Tableau124[#All],11,FALSE)</f>
        <v>www.addictions-france.org</v>
      </c>
      <c r="M35" s="156" t="str">
        <f>VLOOKUP(Tableau11[[#This Row],[Colonne1]],Tableau124[#All],12,FALSE)</f>
        <v>Un jeudi sur deux de 10h à 11h</v>
      </c>
      <c r="N35" s="156" t="str">
        <f>VLOOKUP(Tableau11[[#This Row],[Colonne1]],Tableau124[#All],13,FALSE)</f>
        <v>Réalisation de consultations avancées</v>
      </c>
    </row>
    <row r="36" spans="2:14" ht="86.45" customHeight="1">
      <c r="B36" s="164">
        <v>62</v>
      </c>
      <c r="C36" s="156" t="str">
        <f>VLOOKUP(Tableau11[[#This Row],[Colonne1]],Tableau124[#All],2,FALSE)</f>
        <v>Doubs (25)</v>
      </c>
      <c r="D36" s="156" t="str">
        <f>VLOOKUP(Tableau11[[#This Row],[Colonne1]],Tableau124[#All],3,FALSE)</f>
        <v>Chalezeule</v>
      </c>
      <c r="E36" s="156">
        <f>VLOOKUP(Tableau11[[#This Row],[Colonne1]],Tableau124[#All],4,FALSE)</f>
        <v>25220</v>
      </c>
      <c r="F36" s="156" t="str">
        <f>VLOOKUP(Tableau11[[#This Row],[Colonne1]],Tableau124[#All],5,FALSE)</f>
        <v>CHRS Javel, 2 grande rue</v>
      </c>
      <c r="G36" s="156" t="str">
        <f>VLOOKUP(Tableau11[[#This Row],[Colonne1]],Tableau124[#All],6,FALSE)</f>
        <v>CSAPA (consultations avancées)</v>
      </c>
      <c r="H36" s="156" t="str">
        <f>VLOOKUP(Tableau11[[#This Row],[Colonne1]],Tableau124[#All],7,FALSE)</f>
        <v>CSAPA de Besançon - Association Addictions France - consultations avancées</v>
      </c>
      <c r="I36" s="156" t="str">
        <f>VLOOKUP(Tableau11[[#This Row],[Colonne1]],Tableau124[#All],8,FALSE)</f>
        <v>Associatif</v>
      </c>
      <c r="J36" s="322" t="str">
        <f>VLOOKUP(Tableau11[[#This Row],[Colonne1]],Tableau124[#All],9,FALSE)</f>
        <v>csapa.besancon@addictions-france.org</v>
      </c>
      <c r="K36" s="243" t="str">
        <f>VLOOKUP(Tableau11[[#This Row],[Colonne1]],Tableau124[#All],10,FALSE)</f>
        <v>03.81.83.22.78</v>
      </c>
      <c r="L36" s="322" t="str">
        <f>VLOOKUP(Tableau11[[#This Row],[Colonne1]],Tableau124[#All],11,FALSE)</f>
        <v>www.addictions-france.org</v>
      </c>
      <c r="M36" s="156" t="str">
        <f>VLOOKUP(Tableau11[[#This Row],[Colonne1]],Tableau124[#All],12,FALSE)</f>
        <v>Jeudi de 16h30 à 18h30</v>
      </c>
      <c r="N36" s="156" t="str">
        <f>VLOOKUP(Tableau11[[#This Row],[Colonne1]],Tableau124[#All],13,FALSE)</f>
        <v>Réalisation de consultations avancées</v>
      </c>
    </row>
    <row r="37" spans="2:14" ht="86.45" customHeight="1">
      <c r="B37" s="164">
        <v>71</v>
      </c>
      <c r="C37" s="221" t="str">
        <f>VLOOKUP(Tableau11[[#This Row],[Colonne1]],Tableau124[#All],2,FALSE)</f>
        <v>Doubs (25)</v>
      </c>
      <c r="D37" s="221" t="str">
        <f>VLOOKUP(Tableau11[[#This Row],[Colonne1]],Tableau124[#All],3,FALSE)</f>
        <v>Morteau</v>
      </c>
      <c r="E37" s="221">
        <f>VLOOKUP(Tableau11[[#This Row],[Colonne1]],Tableau124[#All],4,FALSE)</f>
        <v>25500</v>
      </c>
      <c r="F37" s="221" t="str">
        <f>VLOOKUP(Tableau11[[#This Row],[Colonne1]],Tableau124[#All],5,FALSE)</f>
        <v>CCAS de Morteau, 6 rue Barral</v>
      </c>
      <c r="G37" s="221" t="str">
        <f>VLOOKUP(Tableau11[[#This Row],[Colonne1]],Tableau124[#All],6,FALSE)</f>
        <v>CSAPA (consultations avancées)</v>
      </c>
      <c r="H37" s="221" t="str">
        <f>VLOOKUP(Tableau11[[#This Row],[Colonne1]],Tableau124[#All],7,FALSE)</f>
        <v>CSAPA de Besançon - Association Addictions France - consultations avancées</v>
      </c>
      <c r="I37" s="221" t="str">
        <f>VLOOKUP(Tableau11[[#This Row],[Colonne1]],Tableau124[#All],8,FALSE)</f>
        <v>Associatif</v>
      </c>
      <c r="J37" s="317" t="str">
        <f>VLOOKUP(Tableau11[[#This Row],[Colonne1]],Tableau124[#All],9,FALSE)</f>
        <v>csapa.besancon@addictions-france.org</v>
      </c>
      <c r="K37" s="244" t="str">
        <f>VLOOKUP(Tableau11[[#This Row],[Colonne1]],Tableau124[#All],10,FALSE)</f>
        <v>03.81.83.22.76</v>
      </c>
      <c r="L37" s="318" t="str">
        <f>VLOOKUP(Tableau11[[#This Row],[Colonne1]],Tableau124[#All],11,FALSE)</f>
        <v>www.addictions-france.org</v>
      </c>
      <c r="M37" s="101" t="str">
        <f>VLOOKUP(Tableau11[[#This Row],[Colonne1]],Tableau124[#All],12,FALSE)</f>
        <v>Mercredi de 9h à 12h (semaine impaire) et de 9h à 17h (semaine paire)</v>
      </c>
      <c r="N37" s="105" t="str">
        <f>VLOOKUP(Tableau11[[#This Row],[Colonne1]],Tableau124[#All],13,FALSE)</f>
        <v>Réalisation de consultations avancées</v>
      </c>
    </row>
    <row r="38" spans="2:14" ht="86.45" customHeight="1">
      <c r="B38" s="164">
        <v>80</v>
      </c>
      <c r="C38" s="221" t="str">
        <f>VLOOKUP(Tableau11[[#This Row],[Colonne1]],Tableau124[#All],2,FALSE)</f>
        <v>Doubs (25)</v>
      </c>
      <c r="D38" s="221" t="str">
        <f>VLOOKUP(Tableau11[[#This Row],[Colonne1]],Tableau124[#All],3,FALSE)</f>
        <v>Pontarlier</v>
      </c>
      <c r="E38" s="221">
        <f>VLOOKUP(Tableau11[[#This Row],[Colonne1]],Tableau124[#All],4,FALSE)</f>
        <v>25300</v>
      </c>
      <c r="F38" s="221" t="str">
        <f>VLOOKUP(Tableau11[[#This Row],[Colonne1]],Tableau124[#All],5,FALSE)</f>
        <v>Maison de santé de Pontarlier, 16  rue De la Fontaine</v>
      </c>
      <c r="G38" s="221" t="str">
        <f>VLOOKUP(Tableau11[[#This Row],[Colonne1]],Tableau124[#All],6,FALSE)</f>
        <v>CSAPA (consultations avancées)</v>
      </c>
      <c r="H38" s="221" t="str">
        <f>VLOOKUP(Tableau11[[#This Row],[Colonne1]],Tableau124[#All],7,FALSE)</f>
        <v>CSAPA de Besançon - Association Addictions France - consultations avancées</v>
      </c>
      <c r="I38" s="221" t="str">
        <f>VLOOKUP(Tableau11[[#This Row],[Colonne1]],Tableau124[#All],8,FALSE)</f>
        <v>Associatif</v>
      </c>
      <c r="J38" s="317" t="str">
        <f>VLOOKUP(Tableau11[[#This Row],[Colonne1]],Tableau124[#All],9,FALSE)</f>
        <v>csapa.besancon@addictions-france.org</v>
      </c>
      <c r="K38" s="244" t="str">
        <f>VLOOKUP(Tableau11[[#This Row],[Colonne1]],Tableau124[#All],10,FALSE)</f>
        <v>03.81.83.22.75</v>
      </c>
      <c r="L38" s="317" t="str">
        <f>VLOOKUP(Tableau11[[#This Row],[Colonne1]],Tableau124[#All],11,FALSE)</f>
        <v>www.addictions-france.org</v>
      </c>
      <c r="M38" s="101" t="str">
        <f>VLOOKUP(Tableau11[[#This Row],[Colonne1]],Tableau124[#All],12,FALSE)</f>
        <v>Mardi de 9h30 à 16h30</v>
      </c>
      <c r="N38" s="101" t="str">
        <f>VLOOKUP(Tableau11[[#This Row],[Colonne1]],Tableau124[#All],13,FALSE)</f>
        <v>Réalisation de consultations avancées</v>
      </c>
    </row>
    <row r="39" spans="2:14" ht="86.45" customHeight="1">
      <c r="B39" s="164">
        <v>83</v>
      </c>
      <c r="C39" s="156" t="str">
        <f>VLOOKUP(Tableau11[[#This Row],[Colonne1]],Tableau124[#All],2,FALSE)</f>
        <v>Doubs (25)</v>
      </c>
      <c r="D39" s="156" t="str">
        <f>VLOOKUP(Tableau11[[#This Row],[Colonne1]],Tableau124[#All],3,FALSE)</f>
        <v>Quingey</v>
      </c>
      <c r="E39" s="156">
        <f>VLOOKUP(Tableau11[[#This Row],[Colonne1]],Tableau124[#All],4,FALSE)</f>
        <v>25440</v>
      </c>
      <c r="F39" s="156" t="str">
        <f>VLOOKUP(Tableau11[[#This Row],[Colonne1]],Tableau124[#All],5,FALSE)</f>
        <v>Mairie de Quingey, 1 place d'armes</v>
      </c>
      <c r="G39" s="156" t="str">
        <f>VLOOKUP(Tableau11[[#This Row],[Colonne1]],Tableau124[#All],6,FALSE)</f>
        <v>CSAPA (consultations avancées)</v>
      </c>
      <c r="H39" s="156" t="str">
        <f>VLOOKUP(Tableau11[[#This Row],[Colonne1]],Tableau124[#All],7,FALSE)</f>
        <v>CSAPA de Besançon - Association Addictions France- consultations avancées</v>
      </c>
      <c r="I39" s="156" t="str">
        <f>VLOOKUP(Tableau11[[#This Row],[Colonne1]],Tableau124[#All],8,FALSE)</f>
        <v>Associatif</v>
      </c>
      <c r="J39" s="318" t="str">
        <f>VLOOKUP(Tableau11[[#This Row],[Colonne1]],Tableau124[#All],9,FALSE)</f>
        <v>csapa.besancon@addictions-france.org</v>
      </c>
      <c r="K39" s="238" t="str">
        <f>VLOOKUP(Tableau11[[#This Row],[Colonne1]],Tableau124[#All],10,FALSE)</f>
        <v>03.81.83.22.77</v>
      </c>
      <c r="L39" s="318" t="str">
        <f>VLOOKUP(Tableau11[[#This Row],[Colonne1]],Tableau124[#All],11,FALSE)</f>
        <v>www.addictions-france.org</v>
      </c>
      <c r="M39" s="101" t="str">
        <f>VLOOKUP(Tableau11[[#This Row],[Colonne1]],Tableau124[#All],12,FALSE)</f>
        <v>Vendredi de 8h30 à 11h30</v>
      </c>
      <c r="N39" s="262" t="str">
        <f>VLOOKUP(Tableau11[[#This Row],[Colonne1]],Tableau124[#All],13,FALSE)</f>
        <v>Réalisation de consultations avancées</v>
      </c>
    </row>
    <row r="40" spans="2:14" ht="86.45" customHeight="1">
      <c r="B40" s="164">
        <v>63</v>
      </c>
      <c r="C40" s="156" t="str">
        <f>VLOOKUP(Tableau11[[#This Row],[Colonne1]],Tableau124[#All],2,FALSE)</f>
        <v>Doubs (25)</v>
      </c>
      <c r="D40" s="156" t="str">
        <f>VLOOKUP(Tableau11[[#This Row],[Colonne1]],Tableau124[#All],3,FALSE)</f>
        <v>L'Isle Sur Le Doubs</v>
      </c>
      <c r="E40" s="156">
        <f>VLOOKUP(Tableau11[[#This Row],[Colonne1]],Tableau124[#All],4,FALSE)</f>
        <v>25250</v>
      </c>
      <c r="F40" s="156" t="str">
        <f>VLOOKUP(Tableau11[[#This Row],[Colonne1]],Tableau124[#All],5,FALSE)</f>
        <v>54 Rue du Magny</v>
      </c>
      <c r="G40" s="156" t="str">
        <f>VLOOKUP(Tableau11[[#This Row],[Colonne1]],Tableau124[#All],6,FALSE)</f>
        <v>CSAPA (consultations avancées)</v>
      </c>
      <c r="H40" s="156" t="str">
        <f>VLOOKUP(Tableau11[[#This Row],[Colonne1]],Tableau124[#All],7,FALSE)</f>
        <v>CSAPA Le Relais Equinoxe - Association d'Hygiène Sociale de Franche Comté - consultations avancées</v>
      </c>
      <c r="I40" s="156" t="str">
        <f>VLOOKUP(Tableau11[[#This Row],[Colonne1]],Tableau124[#All],8,FALSE)</f>
        <v>Associatif</v>
      </c>
      <c r="J40" s="318" t="str">
        <f>VLOOKUP(Tableau11[[#This Row],[Colonne1]],Tableau124[#All],9,FALSE)</f>
        <v>pole-addictologie.nfc@afs-fc.fr</v>
      </c>
      <c r="K40" s="238" t="str">
        <f>VLOOKUP(Tableau11[[#This Row],[Colonne1]],Tableau124[#All],10,FALSE)</f>
        <v>03.81.99.37.04</v>
      </c>
      <c r="L40" s="318" t="str">
        <f>VLOOKUP(Tableau11[[#This Row],[Colonne1]],Tableau124[#All],11,FALSE)</f>
        <v>www.ahs-fc.fr</v>
      </c>
      <c r="M40" s="101" t="str">
        <f>VLOOKUP(Tableau11[[#This Row],[Colonne1]],Tableau124[#All],12,FALSE)</f>
        <v>1 mardi sur 2 de 10h à 16h</v>
      </c>
      <c r="N40" s="262" t="str">
        <f>VLOOKUP(Tableau11[[#This Row],[Colonne1]],Tableau124[#All],13,FALSE)</f>
        <v>Réalisation de consultations avancées</v>
      </c>
    </row>
    <row r="41" spans="2:14" ht="86.45" customHeight="1">
      <c r="B41" s="164">
        <v>73</v>
      </c>
      <c r="C41" s="156" t="str">
        <f>VLOOKUP(Tableau11[[#This Row],[Colonne1]],Tableau124[#All],2,FALSE)</f>
        <v>Doubs (25)</v>
      </c>
      <c r="D41" s="156" t="str">
        <f>VLOOKUP(Tableau11[[#This Row],[Colonne1]],Tableau124[#All],3,FALSE)</f>
        <v>Ornans</v>
      </c>
      <c r="E41" s="156">
        <f>VLOOKUP(Tableau11[[#This Row],[Colonne1]],Tableau124[#All],4,FALSE)</f>
        <v>25290</v>
      </c>
      <c r="F41" s="156" t="str">
        <f>VLOOKUP(Tableau11[[#This Row],[Colonne1]],Tableau124[#All],5,FALSE)</f>
        <v>1 Rue Saint-Laurent</v>
      </c>
      <c r="G41" s="156" t="str">
        <f>VLOOKUP(Tableau11[[#This Row],[Colonne1]],Tableau124[#All],6,FALSE)</f>
        <v>CSAPA (consultations avancées)</v>
      </c>
      <c r="H41" s="156" t="str">
        <f>VLOOKUP(Tableau11[[#This Row],[Colonne1]],Tableau124[#All],7,FALSE)</f>
        <v>CSAPA Le Relais Equinoxe - Association d'Hygiène Sociale de Franche Comté - consultations avancées</v>
      </c>
      <c r="I41" s="156" t="str">
        <f>VLOOKUP(Tableau11[[#This Row],[Colonne1]],Tableau124[#All],8,FALSE)</f>
        <v>Associatif</v>
      </c>
      <c r="J41" s="318" t="str">
        <f>VLOOKUP(Tableau11[[#This Row],[Colonne1]],Tableau124[#All],9,FALSE)</f>
        <v>pole-addiction.nfc@ahs-fc.fr</v>
      </c>
      <c r="K41" s="238" t="str">
        <f>VLOOKUP(Tableau11[[#This Row],[Colonne1]],Tableau124[#All],10,FALSE)</f>
        <v>03.81.99.37.08</v>
      </c>
      <c r="L41" s="318" t="str">
        <f>VLOOKUP(Tableau11[[#This Row],[Colonne1]],Tableau124[#All],11,FALSE)</f>
        <v>www.ahs-fc.fr</v>
      </c>
      <c r="M41" s="101" t="str">
        <f>VLOOKUP(Tableau11[[#This Row],[Colonne1]],Tableau124[#All],12,FALSE)</f>
        <v>Du lundi au vendredi de 8h30 à 12h et de 13h30 à 16h.</v>
      </c>
      <c r="N41" s="262" t="str">
        <f>VLOOKUP(Tableau11[[#This Row],[Colonne1]],Tableau124[#All],13,FALSE)</f>
        <v>Réalisation de consultations avancées</v>
      </c>
    </row>
    <row r="42" spans="2:14" ht="86.45" customHeight="1">
      <c r="B42" s="164">
        <v>75</v>
      </c>
      <c r="C42" s="156" t="str">
        <f>VLOOKUP(Tableau11[[#This Row],[Colonne1]],Tableau124[#All],2,FALSE)</f>
        <v>Doubs (25)</v>
      </c>
      <c r="D42" s="156" t="str">
        <f>VLOOKUP(Tableau11[[#This Row],[Colonne1]],Tableau124[#All],3,FALSE)</f>
        <v>Pont De Roide</v>
      </c>
      <c r="E42" s="156">
        <f>VLOOKUP(Tableau11[[#This Row],[Colonne1]],Tableau124[#All],4,FALSE)</f>
        <v>25100</v>
      </c>
      <c r="F42" s="156" t="str">
        <f>VLOOKUP(Tableau11[[#This Row],[Colonne1]],Tableau124[#All],5,FALSE)</f>
        <v xml:space="preserve">Maison de la Santé Rudipontaine 
3A Rue de la Résistance </v>
      </c>
      <c r="G42" s="156" t="str">
        <f>VLOOKUP(Tableau11[[#This Row],[Colonne1]],Tableau124[#All],6,FALSE)</f>
        <v>CSAPA (consultations avancées)</v>
      </c>
      <c r="H42" s="156" t="str">
        <f>VLOOKUP(Tableau11[[#This Row],[Colonne1]],Tableau124[#All],7,FALSE)</f>
        <v>CSAPA Le Relais Equinoxe - Association d'Hygiène Sociale de Franche Comté - consultations avancées</v>
      </c>
      <c r="I42" s="156" t="str">
        <f>VLOOKUP(Tableau11[[#This Row],[Colonne1]],Tableau124[#All],8,FALSE)</f>
        <v>Associatif</v>
      </c>
      <c r="J42" s="318" t="str">
        <f>VLOOKUP(Tableau11[[#This Row],[Colonne1]],Tableau124[#All],9,FALSE)</f>
        <v>pole-addictologie.nfc@ahs-fc.fr</v>
      </c>
      <c r="K42" s="238" t="str">
        <f>VLOOKUP(Tableau11[[#This Row],[Colonne1]],Tableau124[#All],10,FALSE)</f>
        <v>03-81-91-09-22</v>
      </c>
      <c r="L42" s="318" t="str">
        <f>VLOOKUP(Tableau11[[#This Row],[Colonne1]],Tableau124[#All],11,FALSE)</f>
        <v>www.ahs-fc.fr</v>
      </c>
      <c r="M42" s="101" t="str">
        <f>VLOOKUP(Tableau11[[#This Row],[Colonne1]],Tableau124[#All],12,FALSE)</f>
        <v>09H – 16H un jeudi sur deux</v>
      </c>
      <c r="N42" s="262" t="str">
        <f>VLOOKUP(Tableau11[[#This Row],[Colonne1]],Tableau124[#All],13,FALSE)</f>
        <v>Réalisation de consultations avancées</v>
      </c>
    </row>
    <row r="43" spans="2:14" ht="86.45" customHeight="1">
      <c r="B43" s="164">
        <v>47</v>
      </c>
      <c r="C43" s="126" t="str">
        <f>VLOOKUP(Tableau11[[#This Row],[Colonne1]],Tableau124[#All],2,FALSE)</f>
        <v>Doubs (25)</v>
      </c>
      <c r="D43" s="126" t="str">
        <f>VLOOKUP(Tableau11[[#This Row],[Colonne1]],Tableau124[#All],3,FALSE)</f>
        <v>Besancon</v>
      </c>
      <c r="E43" s="126" t="str">
        <f>VLOOKUP(Tableau11[[#This Row],[Colonne1]],Tableau124[#All],4,FALSE)</f>
        <v>25000</v>
      </c>
      <c r="F43" s="126" t="str">
        <f>VLOOKUP(Tableau11[[#This Row],[Colonne1]],Tableau124[#All],5,FALSE)</f>
        <v>CHU BESANCON/</v>
      </c>
      <c r="G43" s="211" t="str">
        <f>VLOOKUP(Tableau11[[#This Row],[Colonne1]],Tableau124[#All],6,FALSE)</f>
        <v>ELSA</v>
      </c>
      <c r="H43" s="126" t="str">
        <f>VLOOKUP(Tableau11[[#This Row],[Colonne1]],Tableau124[#All],7,FALSE)</f>
        <v>CHU BESANCON/ CH NOVILLARS</v>
      </c>
      <c r="I43" s="126" t="str">
        <f>VLOOKUP(Tableau11[[#This Row],[Colonne1]],Tableau124[#All],8,FALSE)</f>
        <v>Public</v>
      </c>
      <c r="J43" s="328" t="str">
        <f>VLOOKUP(Tableau11[[#This Row],[Colonne1]],Tableau124[#All],9,FALSE)</f>
        <v>addictologie-secret@chu-besancon.fr</v>
      </c>
      <c r="K43" s="373" t="str">
        <f>VLOOKUP(Tableau11[[#This Row],[Colonne1]],Tableau124[#All],10,FALSE)</f>
        <v>03-81-21-90-08</v>
      </c>
      <c r="L43" s="328" t="str">
        <f>VLOOKUP(Tableau11[[#This Row],[Colonne1]],Tableau124[#All],11,FALSE)</f>
        <v>www.chu-besancon.fr</v>
      </c>
      <c r="M43" s="258" t="str">
        <f>VLOOKUP(Tableau11[[#This Row],[Colonne1]],Tableau124[#All],12,FALSE)</f>
        <v xml:space="preserve">  </v>
      </c>
      <c r="N43" s="274" t="str">
        <f>VLOOKUP(Tableau11[[#This Row],[Colonne1]],Tableau124[#All],13,FALSE)</f>
        <v xml:space="preserve">- intervention auprès de public majeur ; 
- intervention au CHU :Services d'urgences du CHU : SAU, urgences traumatologiques,  urgences psychiatriques et dans tous les services de médecine, chirurgie, obstétrique et de psychiatrie. 
- interventions au CH Novillars dans les services intra hospitaliers de psychiatrie
</v>
      </c>
    </row>
    <row r="44" spans="2:14" ht="86.45" customHeight="1">
      <c r="B44" s="164">
        <v>72</v>
      </c>
      <c r="C44" s="407" t="str">
        <f>VLOOKUP(Tableau11[[#This Row],[Colonne1]],Tableau124[#All],2,FALSE)</f>
        <v>Doubs (25)</v>
      </c>
      <c r="D44" s="126" t="str">
        <f>VLOOKUP(Tableau11[[#This Row],[Colonne1]],Tableau124[#All],3,FALSE)</f>
        <v>Novillars</v>
      </c>
      <c r="E44" s="126" t="str">
        <f>VLOOKUP(Tableau11[[#This Row],[Colonne1]],Tableau124[#All],4,FALSE)</f>
        <v>25000</v>
      </c>
      <c r="F44" s="126" t="str">
        <f>VLOOKUP(Tableau11[[#This Row],[Colonne1]],Tableau124[#All],5,FALSE)</f>
        <v xml:space="preserve"> CH NOVILLARS, Dans plusieurs services</v>
      </c>
      <c r="G44" s="128" t="str">
        <f>VLOOKUP(Tableau11[[#This Row],[Colonne1]],Tableau124[#All],6,FALSE)</f>
        <v>ELSA</v>
      </c>
      <c r="H44" s="126" t="str">
        <f>VLOOKUP(Tableau11[[#This Row],[Colonne1]],Tableau124[#All],7,FALSE)</f>
        <v>CHU BESANCON/ CH NOVILLARS</v>
      </c>
      <c r="I44" s="126" t="str">
        <f>VLOOKUP(Tableau11[[#This Row],[Colonne1]],Tableau124[#All],8,FALSE)</f>
        <v>Public</v>
      </c>
      <c r="J44" s="327" t="str">
        <f>VLOOKUP(Tableau11[[#This Row],[Colonne1]],Tableau124[#All],9,FALSE)</f>
        <v>addictologie-secret@chu-besancon.fr</v>
      </c>
      <c r="K44" s="371" t="str">
        <f>VLOOKUP(Tableau11[[#This Row],[Colonne1]],Tableau124[#All],10,FALSE)</f>
        <v>03-81-21-90-08</v>
      </c>
      <c r="L44" s="328" t="str">
        <f>VLOOKUP(Tableau11[[#This Row],[Colonne1]],Tableau124[#All],11,FALSE)</f>
        <v>www.chu-besancon.fr</v>
      </c>
      <c r="M44" s="257" t="str">
        <f>VLOOKUP(Tableau11[[#This Row],[Colonne1]],Tableau124[#All],12,FALSE)</f>
        <v xml:space="preserve">  </v>
      </c>
      <c r="N44" s="412" t="str">
        <f>VLOOKUP(Tableau11[[#This Row],[Colonne1]],Tableau124[#All],13,FALSE)</f>
        <v>- intervention auprès de public majeur ; 
- intervention au CHU :Services d'urgences du CHU : SAU, urgences traumatologiques,  urgences psychiatriques et dans tous les services de médecine, chirurgie, obstétrique et de psychiatrie. 
- interventions au CH Novillars dans les services intra hospitaliers de psychiatrie
&gt; 8 lits d'addictologie au 1er septembre 2022 (unité Nérée du Centre Hospitalier de Novillars)</v>
      </c>
    </row>
    <row r="45" spans="2:14" ht="86.45" customHeight="1">
      <c r="B45" s="164">
        <v>249</v>
      </c>
      <c r="C45" s="421" t="str">
        <f>VLOOKUP(Tableau11[[#This Row],[Colonne1]],Tableau124[#All],2,FALSE)</f>
        <v>Doubs (25)</v>
      </c>
      <c r="D45" s="421" t="str">
        <f>VLOOKUP(Tableau11[[#This Row],[Colonne1]],Tableau124[#All],3,FALSE)</f>
        <v>Besancon</v>
      </c>
      <c r="E45" s="421" t="str">
        <f>VLOOKUP(Tableau11[[#This Row],[Colonne1]],Tableau124[#All],4,FALSE)</f>
        <v>25000</v>
      </c>
      <c r="F45" s="421" t="str">
        <f>VLOOKUP(Tableau11[[#This Row],[Colonne1]],Tableau124[#All],5,FALSE)</f>
        <v>CHU BESANCON CHU Site St Jacques, 2 places St Jacques, Besançon, Bâtiment St Elisabeth</v>
      </c>
      <c r="G45" s="421" t="str">
        <f>VLOOKUP(Tableau11[[#This Row],[Colonne1]],Tableau124[#All],6,FALSE)</f>
        <v>Soins complexes</v>
      </c>
      <c r="H45" s="314" t="str">
        <f>VLOOKUP(Tableau11[[#This Row],[Colonne1]],Tableau124[#All],7,FALSE)</f>
        <v xml:space="preserve"> </v>
      </c>
      <c r="I45" s="314" t="str">
        <f>VLOOKUP(Tableau11[[#This Row],[Colonne1]],Tableau124[#All],8,FALSE)</f>
        <v xml:space="preserve"> </v>
      </c>
      <c r="J45" s="314" t="str">
        <f>VLOOKUP(Tableau11[[#This Row],[Colonne1]],Tableau124[#All],9,FALSE)</f>
        <v xml:space="preserve"> </v>
      </c>
      <c r="K45" s="314" t="str">
        <f>VLOOKUP(Tableau11[[#This Row],[Colonne1]],Tableau124[#All],10,FALSE)</f>
        <v xml:space="preserve"> </v>
      </c>
      <c r="L45" s="314" t="str">
        <f>VLOOKUP(Tableau11[[#This Row],[Colonne1]],Tableau124[#All],11,FALSE)</f>
        <v xml:space="preserve"> </v>
      </c>
      <c r="M45" s="314" t="str">
        <f>VLOOKUP(Tableau11[[#This Row],[Colonne1]],Tableau124[#All],12,FALSE)</f>
        <v xml:space="preserve"> </v>
      </c>
      <c r="N45" s="314" t="str">
        <f>VLOOKUP(Tableau11[[#This Row],[Colonne1]],Tableau124[#All],13,FALSE)</f>
        <v xml:space="preserve"> </v>
      </c>
    </row>
    <row r="46" spans="2:14" ht="86.45" customHeight="1">
      <c r="B46" s="164">
        <v>251</v>
      </c>
      <c r="C46" s="421" t="str">
        <f>VLOOKUP(Tableau11[[#This Row],[Colonne1]],Tableau124[#All],2,FALSE)</f>
        <v>Doubs (25)</v>
      </c>
      <c r="D46" s="421" t="str">
        <f>VLOOKUP(Tableau11[[#This Row],[Colonne1]],Tableau124[#All],3,FALSE)</f>
        <v>Novillars</v>
      </c>
      <c r="E46" s="421" t="str">
        <f>VLOOKUP(Tableau11[[#This Row],[Colonne1]],Tableau124[#All],4,FALSE)</f>
        <v>25000</v>
      </c>
      <c r="F46" s="421" t="str">
        <f>VLOOKUP(Tableau11[[#This Row],[Colonne1]],Tableau124[#All],5,FALSE)</f>
        <v xml:space="preserve"> CH NOVILLARS</v>
      </c>
      <c r="G46" s="421" t="str">
        <f>VLOOKUP(Tableau11[[#This Row],[Colonne1]],Tableau124[#All],6,FALSE)</f>
        <v>Soins complexes</v>
      </c>
      <c r="H46" s="421" t="str">
        <f>VLOOKUP(Tableau11[[#This Row],[Colonne1]],Tableau124[#All],7,FALSE)</f>
        <v>CH Novillars- Unité Nérée</v>
      </c>
      <c r="I46" s="421" t="str">
        <f>VLOOKUP(Tableau11[[#This Row],[Colonne1]],Tableau124[#All],8,FALSE)</f>
        <v>Public</v>
      </c>
      <c r="J46" s="422" t="str">
        <f>VLOOKUP(Tableau11[[#This Row],[Colonne1]],Tableau124[#All],9,FALSE)</f>
        <v>elsa@ch-novillars.fr</v>
      </c>
      <c r="K46" s="423">
        <f>VLOOKUP(Tableau11[[#This Row],[Colonne1]],Tableau124[#All],10,FALSE)</f>
        <v>381605819</v>
      </c>
      <c r="L46" s="314"/>
      <c r="M46" s="421" t="str">
        <f>VLOOKUP(Tableau11[[#This Row],[Colonne1]],Tableau124[#All],12,FALSE)</f>
        <v>Hospitalisation temps complet</v>
      </c>
      <c r="N46" s="421" t="str">
        <f>VLOOKUP(Tableau11[[#This Row],[Colonne1]],Tableau124[#All],13,FALSE)</f>
        <v>Unité de soins intersectorielles en addictologie pour le Doubs avec admission des patients après consultation de pré admission</v>
      </c>
    </row>
    <row r="47" spans="2:14" ht="86.45" customHeight="1">
      <c r="B47" s="164">
        <v>61</v>
      </c>
      <c r="C47" s="214" t="str">
        <f>VLOOKUP(Tableau11[[#This Row],[Colonne1]],Tableau124[#All],2,FALSE)</f>
        <v>Doubs (25)</v>
      </c>
      <c r="D47" s="214" t="str">
        <f>VLOOKUP(Tableau11[[#This Row],[Colonne1]],Tableau124[#All],3,FALSE)</f>
        <v>Besançon</v>
      </c>
      <c r="E47" s="214">
        <f>VLOOKUP(Tableau11[[#This Row],[Colonne1]],Tableau124[#All],4,FALSE)</f>
        <v>25000</v>
      </c>
      <c r="F47" s="214" t="str">
        <f>VLOOKUP(Tableau11[[#This Row],[Colonne1]],Tableau124[#All],5,FALSE)</f>
        <v>CHU Site St Jacques, 2 places St Jacques, Besançon, Bâtiment St Elisabeth</v>
      </c>
      <c r="G47" s="214" t="str">
        <f>VLOOKUP(Tableau11[[#This Row],[Colonne1]],Tableau124[#All],6,FALSE)</f>
        <v>Unité d'hospitalisation de jour</v>
      </c>
      <c r="H47" s="214" t="str">
        <f>VLOOKUP(Tableau11[[#This Row],[Colonne1]],Tableau124[#All],7,FALSE)</f>
        <v>Centre Hospitalier Universitaire de Besançon</v>
      </c>
      <c r="I47" s="214" t="str">
        <f>VLOOKUP(Tableau11[[#This Row],[Colonne1]],Tableau124[#All],8,FALSE)</f>
        <v>Public</v>
      </c>
      <c r="J47" s="355" t="str">
        <f>VLOOKUP(Tableau11[[#This Row],[Colonne1]],Tableau124[#All],9,FALSE)</f>
        <v>hdjaddicto-secret@chu-besancon.fr</v>
      </c>
      <c r="K47" s="376" t="str">
        <f>VLOOKUP(Tableau11[[#This Row],[Colonne1]],Tableau124[#All],10,FALSE)</f>
        <v>03.81.21.82.03 / Fax: 03.81.21.82.09</v>
      </c>
      <c r="L47" s="355" t="str">
        <f>VLOOKUP(Tableau11[[#This Row],[Colonne1]],Tableau124[#All],11,FALSE)</f>
        <v>CHU - Psychiatrie de l'adulte (chu-besancon.fr)</v>
      </c>
      <c r="M47" s="214" t="str">
        <f>VLOOKUP(Tableau11[[#This Row],[Colonne1]],Tableau124[#All],12,FALSE)</f>
        <v>Horaire 9h-16h</v>
      </c>
      <c r="N47" s="357" t="str">
        <f>VLOOKUP(Tableau11[[#This Row],[Colonne1]],Tableau124[#All],13,FALSE)</f>
        <v>Adressage par un médecin après avoir complété la feuille d’adressage accessible sur le site du CHU 
Toutes addictions avec ou sans substances 
Objectifs
&gt; Maintien de l’abstinence
&gt; Sevrage simple
&gt; Réduction des consommation
&gt; Evaluation pathologie duelle 
Consultation de préadmission obligatoire
Soins organisé autour d’ateliers de groupe : Atelier psychosocial / éducation thérapeutique au patient / neuropsychologique / relaxation / nutrition / activité physique adapté / thérapie cognitivo-comportementale
Durée de 2 semaines à 3 mois maximum 
Il y a également des consultations addiction comportementales :
-	addictologie-secret@chu-besancon.fr 
-	CHU - Psychiatrie de l'adulte (chu-besancon.fr)
-	secrétariat : 03.81.21.90.08 / Fax: 03.81.21.90.28</v>
      </c>
    </row>
    <row r="48" spans="2:14" ht="75">
      <c r="B48" s="164">
        <v>69</v>
      </c>
      <c r="C48" s="222" t="str">
        <f>VLOOKUP(Tableau11[[#This Row],[Colonne1]],Tableau124[#All],2,FALSE)</f>
        <v>Doubs (25)</v>
      </c>
      <c r="D48" s="222" t="str">
        <f>VLOOKUP(Tableau11[[#This Row],[Colonne1]],Tableau124[#All],3,FALSE)</f>
        <v>Montbéliard</v>
      </c>
      <c r="E48" s="222">
        <f>VLOOKUP(Tableau11[[#This Row],[Colonne1]],Tableau124[#All],4,FALSE)</f>
        <v>25200</v>
      </c>
      <c r="F48" s="222" t="str">
        <f>VLOOKUP(Tableau11[[#This Row],[Colonne1]],Tableau124[#All],5,FALSE)</f>
        <v>Maison d'arrêt de Montbéliard, 2 Rue du Bois Bourgeois</v>
      </c>
      <c r="G48" s="222" t="str">
        <f>VLOOKUP(Tableau11[[#This Row],[Colonne1]],Tableau124[#All],6,FALSE)</f>
        <v>Unité sanitaire en milieu pénitentiaire</v>
      </c>
      <c r="H48" s="223" t="str">
        <f>VLOOKUP(Tableau11[[#This Row],[Colonne1]],Tableau124[#All],7,FALSE)</f>
        <v>Hôpital Nord Franche-Comté</v>
      </c>
      <c r="I48" s="222" t="str">
        <f>VLOOKUP(Tableau11[[#This Row],[Colonne1]],Tableau124[#All],8,FALSE)</f>
        <v>Public</v>
      </c>
      <c r="J48" s="360" t="str">
        <f>VLOOKUP(Tableau11[[#This Row],[Colonne1]],Tableau124[#All],9,FALSE)</f>
        <v>ds.secretariat@hnfc.fr</v>
      </c>
      <c r="K48" s="405" t="str">
        <f>VLOOKUP(Tableau11[[#This Row],[Colonne1]],Tableau124[#All],10,FALSE)</f>
        <v xml:space="preserve">03.81.91.37.12 </v>
      </c>
      <c r="L48" s="360" t="str">
        <f>VLOOKUP(Tableau11[[#This Row],[Colonne1]],Tableau124[#All],11,FALSE)</f>
        <v>www.hnfc.fr</v>
      </c>
      <c r="M48" s="258" t="str">
        <f>VLOOKUP(Tableau11[[#This Row],[Colonne1]],Tableau124[#All],12,FALSE)</f>
        <v xml:space="preserve">  </v>
      </c>
      <c r="N48" s="286" t="str">
        <f>VLOOKUP(Tableau11[[#This Row],[Colonne1]],Tableau124[#All],13,FALSE)</f>
        <v>- unité de consultations et de soins ambulatoires (UCSA) ;
- intervention de niveau 1 (consultations, prestations et activités ambulatoires).</v>
      </c>
    </row>
  </sheetData>
  <mergeCells count="1">
    <mergeCell ref="C3:O3"/>
  </mergeCell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9BE1"/>
  </sheetPr>
  <dimension ref="A1:O46"/>
  <sheetViews>
    <sheetView topLeftCell="D22" zoomScale="80" zoomScaleNormal="80" workbookViewId="0">
      <selection activeCell="M26" sqref="M26"/>
    </sheetView>
  </sheetViews>
  <sheetFormatPr baseColWidth="10" defaultColWidth="10.5703125" defaultRowHeight="15"/>
  <cols>
    <col min="1" max="1" width="16.5703125" style="48" customWidth="1"/>
    <col min="2" max="2" width="10.42578125" style="1" customWidth="1"/>
    <col min="3" max="3" width="28.42578125" style="1" customWidth="1"/>
    <col min="4" max="4" width="36.5703125" style="1" customWidth="1"/>
    <col min="5" max="5" width="24.140625" style="1" customWidth="1"/>
    <col min="6" max="6" width="25.5703125" style="1" customWidth="1"/>
    <col min="7" max="7" width="29.42578125" style="1" customWidth="1"/>
    <col min="8" max="8" width="27.85546875" style="1" customWidth="1"/>
    <col min="9" max="9" width="20.42578125" style="1" customWidth="1"/>
    <col min="10" max="10" width="12.42578125" style="1" customWidth="1"/>
    <col min="11" max="11" width="26.42578125" style="1" customWidth="1"/>
    <col min="12" max="12" width="23.42578125" style="1" customWidth="1"/>
    <col min="13" max="13" width="28.85546875" style="1" customWidth="1"/>
    <col min="14" max="14" width="39" style="1" customWidth="1"/>
    <col min="15" max="15" width="34.42578125" style="1" hidden="1" customWidth="1"/>
    <col min="16" max="16384" width="10.5703125" style="1"/>
  </cols>
  <sheetData>
    <row r="1" spans="1:15" ht="57.6" customHeight="1">
      <c r="B1" s="48"/>
      <c r="C1" s="48"/>
      <c r="D1" s="48"/>
      <c r="E1" s="48"/>
      <c r="F1" s="48"/>
      <c r="G1" s="48"/>
      <c r="H1" s="48"/>
      <c r="I1" s="48"/>
      <c r="J1" s="48"/>
      <c r="K1" s="48"/>
      <c r="L1" s="48"/>
      <c r="M1" s="48"/>
      <c r="N1" s="48"/>
    </row>
    <row r="3" spans="1:15" ht="18.75">
      <c r="C3" s="709" t="s">
        <v>769</v>
      </c>
      <c r="D3" s="709"/>
      <c r="E3" s="709"/>
      <c r="F3" s="709"/>
      <c r="G3" s="709"/>
      <c r="H3" s="709"/>
      <c r="I3" s="709"/>
      <c r="J3" s="709"/>
      <c r="K3" s="709"/>
      <c r="L3" s="709"/>
      <c r="M3" s="709"/>
      <c r="N3" s="709"/>
      <c r="O3" s="709"/>
    </row>
    <row r="5" spans="1:15" ht="30">
      <c r="A5" s="49"/>
      <c r="B5" s="1" t="s">
        <v>1078</v>
      </c>
      <c r="C5" s="60" t="s">
        <v>17</v>
      </c>
      <c r="D5" s="60" t="s">
        <v>18</v>
      </c>
      <c r="E5" s="60" t="s">
        <v>19</v>
      </c>
      <c r="F5" s="60" t="s">
        <v>20</v>
      </c>
      <c r="G5" s="60" t="s">
        <v>21</v>
      </c>
      <c r="H5" s="60" t="s">
        <v>22</v>
      </c>
      <c r="I5" s="60" t="s">
        <v>23</v>
      </c>
      <c r="J5" s="60" t="s">
        <v>24</v>
      </c>
      <c r="K5" s="60" t="s">
        <v>25</v>
      </c>
      <c r="L5" s="60" t="s">
        <v>26</v>
      </c>
      <c r="M5" s="60" t="s">
        <v>27</v>
      </c>
      <c r="N5" s="171" t="s">
        <v>28</v>
      </c>
    </row>
    <row r="6" spans="1:15" ht="86.45" customHeight="1">
      <c r="B6" s="164">
        <v>91</v>
      </c>
      <c r="C6" s="129" t="str">
        <f>VLOOKUP(Tableau10[[#This Row],[Colonne1]],Tableau124[#All],2,FALSE)</f>
        <v>Haute-Saône (70)</v>
      </c>
      <c r="D6" s="129" t="str">
        <f>VLOOKUP(Tableau10[[#This Row],[Colonne1]],Tableau124[#All],3,FALSE)</f>
        <v>Héricourt</v>
      </c>
      <c r="E6" s="129">
        <f>VLOOKUP(Tableau10[[#This Row],[Colonne1]],Tableau124[#All],4,FALSE)</f>
        <v>70400</v>
      </c>
      <c r="F6" s="129" t="str">
        <f>VLOOKUP(Tableau10[[#This Row],[Colonne1]],Tableau124[#All],5,FALSE)</f>
        <v>Association Hospitalière de Bourgogne-Franche-Comté, 9 rue martin Niemöller</v>
      </c>
      <c r="G6" s="129" t="str">
        <f>VLOOKUP(Tableau10[[#This Row],[Colonne1]],Tableau124[#All],6,FALSE)</f>
        <v>Consultations Hospitalières externes d'addictologie</v>
      </c>
      <c r="H6" s="129" t="str">
        <f>VLOOKUP(Tableau10[[#This Row],[Colonne1]],Tableau124[#All],7,FALSE)</f>
        <v>AHBFC</v>
      </c>
      <c r="I6" s="129" t="str">
        <f>VLOOKUP(Tableau10[[#This Row],[Colonne1]],Tableau124[#All],8,FALSE)</f>
        <v>Associatif</v>
      </c>
      <c r="J6" s="311" t="str">
        <f>VLOOKUP(Tableau10[[#This Row],[Colonne1]],Tableau124[#All],9,FALSE)</f>
        <v>contact@ahbfc.fr</v>
      </c>
      <c r="K6" s="239" t="str">
        <f>VLOOKUP(Tableau10[[#This Row],[Colonne1]],Tableau124[#All],10,FALSE)</f>
        <v xml:space="preserve">03 81 90 76 10 </v>
      </c>
      <c r="L6" s="312" t="str">
        <f>VLOOKUP(Tableau10[[#This Row],[Colonne1]],Tableau124[#All],11,FALSE)</f>
        <v>www.ahbfc.fr</v>
      </c>
      <c r="M6" s="129" t="str">
        <f>VLOOKUP(Tableau10[[#This Row],[Colonne1]],Tableau124[#All],12,FALSE)</f>
        <v>du lundi au vendredi après-midi (14h-17h), sur rendez-vous.</v>
      </c>
      <c r="N6" s="424" t="str">
        <f>VLOOKUP(Tableau10[[#This Row],[Colonne1]],Tableau124[#All],13,FALSE)</f>
        <v>Intervention auprès de public majeurs</v>
      </c>
    </row>
    <row r="7" spans="1:15" ht="86.45" customHeight="1">
      <c r="B7" s="164">
        <v>106</v>
      </c>
      <c r="C7" s="156" t="str">
        <f>VLOOKUP(Tableau10[[#This Row],[Colonne1]],Tableau124[#All],2,FALSE)</f>
        <v>Haute-Saône (70)</v>
      </c>
      <c r="D7" s="156" t="str">
        <f>VLOOKUP(Tableau10[[#This Row],[Colonne1]],Tableau124[#All],3,FALSE)</f>
        <v>Vesoul</v>
      </c>
      <c r="E7" s="156" t="str">
        <f>VLOOKUP(Tableau10[[#This Row],[Colonne1]],Tableau124[#All],4,FALSE)</f>
        <v>70000</v>
      </c>
      <c r="F7" s="156" t="str">
        <f>VLOOKUP(Tableau10[[#This Row],[Colonne1]],Tableau124[#All],5,FALSE)</f>
        <v>27 Av. Aristide Briand</v>
      </c>
      <c r="G7" s="156" t="str">
        <f>VLOOKUP(Tableau10[[#This Row],[Colonne1]],Tableau124[#All],6,FALSE)</f>
        <v>CSAPA</v>
      </c>
      <c r="H7" s="156" t="str">
        <f>VLOOKUP(Tableau10[[#This Row],[Colonne1]],Tableau124[#All],7,FALSE)</f>
        <v>Association Addictions France en Haute-Saône</v>
      </c>
      <c r="I7" s="156" t="str">
        <f>VLOOKUP(Tableau10[[#This Row],[Colonne1]],Tableau124[#All],8,FALSE)</f>
        <v>Associatif</v>
      </c>
      <c r="J7" s="317" t="str">
        <f>VLOOKUP(Tableau10[[#This Row],[Colonne1]],Tableau124[#All],9,FALSE)</f>
        <v>csapa.vesoul@addictions-france.org</v>
      </c>
      <c r="K7" s="244" t="str">
        <f>VLOOKUP(Tableau10[[#This Row],[Colonne1]],Tableau124[#All],10,FALSE)</f>
        <v>03-84-76-75-75</v>
      </c>
      <c r="L7" s="612" t="str">
        <f>VLOOKUP(Tableau10[[#This Row],[Colonne1]],Tableau124[#All],11,FALSE)</f>
        <v>https://addictions-france.org</v>
      </c>
      <c r="M7" s="289" t="str">
        <f>VLOOKUP(Tableau10[[#This Row],[Colonne1]],Tableau124[#All],12,FALSE)</f>
        <v>Mercredi 9h à 12h30 et 13h30 à 16h 30</v>
      </c>
      <c r="N7" s="614" t="str">
        <f>VLOOKUP(Tableau10[[#This Row],[Colonne1]],Tableau124[#All],13,FALSE)</f>
        <v>- Réalisation de consultations avancées sur Vesoul, Fontaine-les-Dijon, Avallon, Vesoul, Lure,  Vesoul, Gray, Luxeuil-les-Bains, Noidans-Le-Ferroux, CPP Gray, Vesoul, Jussey, Rioz ;
- intervention en milieu pénitentiaire à la maison d'arrêt de Vesoul
- mise à disposition de matériel de consommation à moindre risque ;
- dispositifs anti-overdose à disposition ; 
- présence d'une CJC.</v>
      </c>
    </row>
    <row r="8" spans="1:15" ht="86.45" customHeight="1">
      <c r="B8" s="164">
        <v>115</v>
      </c>
      <c r="C8" s="383" t="str">
        <f>VLOOKUP(Tableau10[[#This Row],[Colonne1]],Tableau124[#All],2,FALSE)</f>
        <v>Haute-Saône (70)</v>
      </c>
      <c r="D8" s="383" t="str">
        <f>VLOOKUP(Tableau10[[#This Row],[Colonne1]],Tableau124[#All],3,FALSE)</f>
        <v xml:space="preserve">Vesoul </v>
      </c>
      <c r="E8" s="383">
        <f>VLOOKUP(Tableau10[[#This Row],[Colonne1]],Tableau124[#All],4,FALSE)</f>
        <v>70000</v>
      </c>
      <c r="F8" s="383" t="str">
        <f>VLOOKUP(Tableau10[[#This Row],[Colonne1]],Tableau124[#All],5,FALSE)</f>
        <v>SAFED – 100 rue Baron Bouvier</v>
      </c>
      <c r="G8" s="383" t="str">
        <f>VLOOKUP(Tableau10[[#This Row],[Colonne1]],Tableau124[#All],6,FALSE)</f>
        <v>CSAPA (consultations avancées)</v>
      </c>
      <c r="H8" s="383" t="str">
        <f>VLOOKUP(Tableau10[[#This Row],[Colonne1]],Tableau124[#All],7,FALSE)</f>
        <v>Association Addictions France en Haute-Saône</v>
      </c>
      <c r="I8" s="383" t="str">
        <f>VLOOKUP(Tableau10[[#This Row],[Colonne1]],Tableau124[#All],8,FALSE)</f>
        <v>Associatif</v>
      </c>
      <c r="J8" s="611" t="str">
        <f>VLOOKUP(Tableau10[[#This Row],[Colonne1]],Tableau124[#All],9,FALSE)</f>
        <v xml:space="preserve"> csapa.vesoul@addictions-france.org</v>
      </c>
      <c r="K8" s="251" t="str">
        <f>VLOOKUP(Tableau10[[#This Row],[Colonne1]],Tableau124[#All],10,FALSE)</f>
        <v>03-84-76-75-75</v>
      </c>
      <c r="L8" s="611" t="str">
        <f>VLOOKUP(Tableau10[[#This Row],[Colonne1]],Tableau124[#All],11,FALSE)</f>
        <v>https://addictions-france.org</v>
      </c>
      <c r="M8" s="613" t="str">
        <f>VLOOKUP(Tableau10[[#This Row],[Colonne1]],Tableau124[#All],12,FALSE)</f>
        <v xml:space="preserve"> Vendredi 14h-16h (semaines paires) </v>
      </c>
      <c r="N8" s="617" t="str">
        <f>VLOOKUP(Tableau10[[#This Row],[Colonne1]],Tableau124[#All],13,FALSE)</f>
        <v>Consultations avancées en CHRS</v>
      </c>
    </row>
    <row r="9" spans="1:15" ht="86.45" customHeight="1">
      <c r="B9" s="164">
        <v>87</v>
      </c>
      <c r="C9" s="156" t="str">
        <f>VLOOKUP(Tableau10[[#This Row],[Colonne1]],Tableau124[#All],2,FALSE)</f>
        <v>Haute-Saône (70)</v>
      </c>
      <c r="D9" s="156" t="str">
        <f>VLOOKUP(Tableau10[[#This Row],[Colonne1]],Tableau124[#All],3,FALSE)</f>
        <v>Gray</v>
      </c>
      <c r="E9" s="156">
        <f>VLOOKUP(Tableau10[[#This Row],[Colonne1]],Tableau124[#All],4,FALSE)</f>
        <v>70100</v>
      </c>
      <c r="F9" s="156" t="str">
        <f>VLOOKUP(Tableau10[[#This Row],[Colonne1]],Tableau124[#All],5,FALSE)</f>
        <v>MDA de Gray - 10, rue des Casernes</v>
      </c>
      <c r="G9" s="156" t="str">
        <f>VLOOKUP(Tableau10[[#This Row],[Colonne1]],Tableau124[#All],6,FALSE)</f>
        <v>CSAPA (consultations avancées)</v>
      </c>
      <c r="H9" s="156" t="str">
        <f>VLOOKUP(Tableau10[[#This Row],[Colonne1]],Tableau124[#All],7,FALSE)</f>
        <v>Association Addictions France en Haute-Saône - consultations avancées</v>
      </c>
      <c r="I9" s="156" t="str">
        <f>VLOOKUP(Tableau10[[#This Row],[Colonne1]],Tableau124[#All],8,FALSE)</f>
        <v>Associatif</v>
      </c>
      <c r="J9" s="317" t="str">
        <f>VLOOKUP(Tableau10[[#This Row],[Colonne1]],Tableau124[#All],9,FALSE)</f>
        <v>bfc70@addictions-france.org</v>
      </c>
      <c r="K9" s="244" t="str">
        <f>VLOOKUP(Tableau10[[#This Row],[Colonne1]],Tableau124[#All],10,FALSE)</f>
        <v>03-84-76-75-79</v>
      </c>
      <c r="L9" s="317" t="str">
        <f>VLOOKUP(Tableau10[[#This Row],[Colonne1]],Tableau124[#All],11,FALSE)</f>
        <v>https://addictions-france.org</v>
      </c>
      <c r="M9" s="289" t="str">
        <f>VLOOKUP(Tableau10[[#This Row],[Colonne1]],Tableau124[#All],12,FALSE)</f>
        <v>Mercredi 14h-18h</v>
      </c>
      <c r="N9" s="292" t="str">
        <f>VLOOKUP(Tableau10[[#This Row],[Colonne1]],Tableau124[#All],13,FALSE)</f>
        <v>Réalisation de consultations avancées</v>
      </c>
    </row>
    <row r="10" spans="1:15" ht="86.45" customHeight="1">
      <c r="B10" s="164">
        <v>92</v>
      </c>
      <c r="C10" s="156" t="str">
        <f>VLOOKUP(Tableau10[[#This Row],[Colonne1]],Tableau124[#All],2,FALSE)</f>
        <v>Haute-Saône (70)</v>
      </c>
      <c r="D10" s="156" t="str">
        <f>VLOOKUP(Tableau10[[#This Row],[Colonne1]],Tableau124[#All],3,FALSE)</f>
        <v>Jussey</v>
      </c>
      <c r="E10" s="156">
        <f>VLOOKUP(Tableau10[[#This Row],[Colonne1]],Tableau124[#All],4,FALSE)</f>
        <v>70500</v>
      </c>
      <c r="F10" s="156" t="str">
        <f>VLOOKUP(Tableau10[[#This Row],[Colonne1]],Tableau124[#All],5,FALSE)</f>
        <v>CMS - Place du Champ de Foire</v>
      </c>
      <c r="G10" s="156" t="str">
        <f>VLOOKUP(Tableau10[[#This Row],[Colonne1]],Tableau124[#All],6,FALSE)</f>
        <v>CSAPA (consultations avancées)</v>
      </c>
      <c r="H10" s="156" t="str">
        <f>VLOOKUP(Tableau10[[#This Row],[Colonne1]],Tableau124[#All],7,FALSE)</f>
        <v>Association Addictions France en Haute-Saône - consultations avancées</v>
      </c>
      <c r="I10" s="156" t="str">
        <f>VLOOKUP(Tableau10[[#This Row],[Colonne1]],Tableau124[#All],8,FALSE)</f>
        <v>Associatif</v>
      </c>
      <c r="J10" s="318" t="str">
        <f>VLOOKUP(Tableau10[[#This Row],[Colonne1]],Tableau124[#All],9,FALSE)</f>
        <v>csapa.vesoul@addictions-france.org</v>
      </c>
      <c r="K10" s="238" t="str">
        <f>VLOOKUP(Tableau10[[#This Row],[Colonne1]],Tableau124[#All],10,FALSE)</f>
        <v>03-84-76-75-75</v>
      </c>
      <c r="L10" s="318" t="str">
        <f>VLOOKUP(Tableau10[[#This Row],[Colonne1]],Tableau124[#All],11,FALSE)</f>
        <v>https://addictions-france.org</v>
      </c>
      <c r="M10" s="105" t="str">
        <f>VLOOKUP(Tableau10[[#This Row],[Colonne1]],Tableau124[#All],12,FALSE)</f>
        <v>Lundi 13h30-16h30 (1 fois par mois)</v>
      </c>
      <c r="N10" s="292" t="str">
        <f>VLOOKUP(Tableau10[[#This Row],[Colonne1]],Tableau124[#All],13,FALSE)</f>
        <v>Réalisation de consultations avancées</v>
      </c>
    </row>
    <row r="11" spans="1:15" ht="86.45" customHeight="1">
      <c r="B11" s="164">
        <v>94</v>
      </c>
      <c r="C11" s="156" t="str">
        <f>VLOOKUP(Tableau10[[#This Row],[Colonne1]],Tableau124[#All],2,FALSE)</f>
        <v>Haute-Saône (70)</v>
      </c>
      <c r="D11" s="156" t="str">
        <f>VLOOKUP(Tableau10[[#This Row],[Colonne1]],Tableau124[#All],3,FALSE)</f>
        <v>Lure</v>
      </c>
      <c r="E11" s="156">
        <f>VLOOKUP(Tableau10[[#This Row],[Colonne1]],Tableau124[#All],4,FALSE)</f>
        <v>70200</v>
      </c>
      <c r="F11" s="156" t="str">
        <f>VLOOKUP(Tableau10[[#This Row],[Colonne1]],Tableau124[#All],5,FALSE)</f>
        <v>CMP - 4, rue Parmentier</v>
      </c>
      <c r="G11" s="156" t="str">
        <f>VLOOKUP(Tableau10[[#This Row],[Colonne1]],Tableau124[#All],6,FALSE)</f>
        <v>CSAPA (consultations avancées)</v>
      </c>
      <c r="H11" s="156" t="str">
        <f>VLOOKUP(Tableau10[[#This Row],[Colonne1]],Tableau124[#All],7,FALSE)</f>
        <v>Association Addictions France en Haute-Saône - consultations avancées</v>
      </c>
      <c r="I11" s="156" t="str">
        <f>VLOOKUP(Tableau10[[#This Row],[Colonne1]],Tableau124[#All],8,FALSE)</f>
        <v>Associatif</v>
      </c>
      <c r="J11" s="318" t="str">
        <f>VLOOKUP(Tableau10[[#This Row],[Colonne1]],Tableau124[#All],9,FALSE)</f>
        <v>csapa.vesoul@addictions-france.org</v>
      </c>
      <c r="K11" s="238" t="str">
        <f>VLOOKUP(Tableau10[[#This Row],[Colonne1]],Tableau124[#All],10,FALSE)</f>
        <v>03-84-76-75-75</v>
      </c>
      <c r="L11" s="318" t="str">
        <f>VLOOKUP(Tableau10[[#This Row],[Colonne1]],Tableau124[#All],11,FALSE)</f>
        <v>https://addictions-france.org</v>
      </c>
      <c r="M11" s="101" t="str">
        <f>VLOOKUP(Tableau10[[#This Row],[Colonne1]],Tableau124[#All],12,FALSE)</f>
        <v>Lundi 9h-12h30</v>
      </c>
      <c r="N11" s="292" t="str">
        <f>VLOOKUP(Tableau10[[#This Row],[Colonne1]],Tableau124[#All],13,FALSE)</f>
        <v>Réalisation de consultations avancées</v>
      </c>
    </row>
    <row r="12" spans="1:15" ht="86.45" customHeight="1">
      <c r="B12" s="164">
        <v>98</v>
      </c>
      <c r="C12" s="156" t="str">
        <f>VLOOKUP(Tableau10[[#This Row],[Colonne1]],Tableau124[#All],2,FALSE)</f>
        <v>Haute-Saône (70)</v>
      </c>
      <c r="D12" s="156" t="str">
        <f>VLOOKUP(Tableau10[[#This Row],[Colonne1]],Tableau124[#All],3,FALSE)</f>
        <v>Luxeuil-Les-Bains</v>
      </c>
      <c r="E12" s="156">
        <f>VLOOKUP(Tableau10[[#This Row],[Colonne1]],Tableau124[#All],4,FALSE)</f>
        <v>70300</v>
      </c>
      <c r="F12" s="156" t="str">
        <f>VLOOKUP(Tableau10[[#This Row],[Colonne1]],Tableau124[#All],5,FALSE)</f>
        <v>MDA de Luxeuil-les-Bains - Place du 8 mai 1945</v>
      </c>
      <c r="G12" s="156" t="str">
        <f>VLOOKUP(Tableau10[[#This Row],[Colonne1]],Tableau124[#All],6,FALSE)</f>
        <v>CSAPA (consultations avancées)</v>
      </c>
      <c r="H12" s="156" t="str">
        <f>VLOOKUP(Tableau10[[#This Row],[Colonne1]],Tableau124[#All],7,FALSE)</f>
        <v>Association Addictions France en Haute-Saône - consultations avancées</v>
      </c>
      <c r="I12" s="156" t="str">
        <f>VLOOKUP(Tableau10[[#This Row],[Colonne1]],Tableau124[#All],8,FALSE)</f>
        <v>Associatif</v>
      </c>
      <c r="J12" s="318" t="str">
        <f>VLOOKUP(Tableau10[[#This Row],[Colonne1]],Tableau124[#All],9,FALSE)</f>
        <v>bfc70@addictions-france.org</v>
      </c>
      <c r="K12" s="244" t="str">
        <f>VLOOKUP(Tableau10[[#This Row],[Colonne1]],Tableau124[#All],10,FALSE)</f>
        <v>03-84-76-75-80</v>
      </c>
      <c r="L12" s="318" t="str">
        <f>VLOOKUP(Tableau10[[#This Row],[Colonne1]],Tableau124[#All],11,FALSE)</f>
        <v>https://addictions-france.org</v>
      </c>
      <c r="M12" s="105" t="str">
        <f>VLOOKUP(Tableau10[[#This Row],[Colonne1]],Tableau124[#All],12,FALSE)</f>
        <v>Lundi 14h-17h30</v>
      </c>
      <c r="N12" s="292" t="str">
        <f>VLOOKUP(Tableau10[[#This Row],[Colonne1]],Tableau124[#All],13,FALSE)</f>
        <v>Réalisation de consultations avancées</v>
      </c>
    </row>
    <row r="13" spans="1:15" ht="86.45" customHeight="1">
      <c r="B13" s="164">
        <v>102</v>
      </c>
      <c r="C13" s="156" t="str">
        <f>VLOOKUP(Tableau10[[#This Row],[Colonne1]],Tableau124[#All],2,FALSE)</f>
        <v>Haute-Saône (70)</v>
      </c>
      <c r="D13" s="156" t="str">
        <f>VLOOKUP(Tableau10[[#This Row],[Colonne1]],Tableau124[#All],3,FALSE)</f>
        <v>Rioz</v>
      </c>
      <c r="E13" s="156">
        <f>VLOOKUP(Tableau10[[#This Row],[Colonne1]],Tableau124[#All],4,FALSE)</f>
        <v>70190</v>
      </c>
      <c r="F13" s="156" t="str">
        <f>VLOOKUP(Tableau10[[#This Row],[Colonne1]],Tableau124[#All],5,FALSE)</f>
        <v>CMS - Rue du Clair Soleil</v>
      </c>
      <c r="G13" s="156" t="str">
        <f>VLOOKUP(Tableau10[[#This Row],[Colonne1]],Tableau124[#All],6,FALSE)</f>
        <v>CSAPA (consultations avancées)</v>
      </c>
      <c r="H13" s="156" t="str">
        <f>VLOOKUP(Tableau10[[#This Row],[Colonne1]],Tableau124[#All],7,FALSE)</f>
        <v>Association Addictions France en Haute-Saône - consultations avancées</v>
      </c>
      <c r="I13" s="156" t="str">
        <f>VLOOKUP(Tableau10[[#This Row],[Colonne1]],Tableau124[#All],8,FALSE)</f>
        <v>Associatif</v>
      </c>
      <c r="J13" s="318" t="str">
        <f>VLOOKUP(Tableau10[[#This Row],[Colonne1]],Tableau124[#All],9,FALSE)</f>
        <v>csapa.vesoul@addictions-france.org</v>
      </c>
      <c r="K13" s="244" t="str">
        <f>VLOOKUP(Tableau10[[#This Row],[Colonne1]],Tableau124[#All],10,FALSE)</f>
        <v>03-84-76-75-75</v>
      </c>
      <c r="L13" s="318" t="str">
        <f>VLOOKUP(Tableau10[[#This Row],[Colonne1]],Tableau124[#All],11,FALSE)</f>
        <v>https://addictions-france.org</v>
      </c>
      <c r="M13" s="105" t="str">
        <f>VLOOKUP(Tableau10[[#This Row],[Colonne1]],Tableau124[#All],12,FALSE)</f>
        <v>Jeudi 13h30-17h (1 fois par mois)</v>
      </c>
      <c r="N13" s="292" t="str">
        <f>VLOOKUP(Tableau10[[#This Row],[Colonne1]],Tableau124[#All],13,FALSE)</f>
        <v>Réalisation de consultations avancées</v>
      </c>
    </row>
    <row r="14" spans="1:15" ht="86.45" customHeight="1">
      <c r="B14" s="164">
        <v>107</v>
      </c>
      <c r="C14" s="156" t="str">
        <f>VLOOKUP(Tableau10[[#This Row],[Colonne1]],Tableau124[#All],2,FALSE)</f>
        <v>Haute-Saône (70)</v>
      </c>
      <c r="D14" s="156" t="str">
        <f>VLOOKUP(Tableau10[[#This Row],[Colonne1]],Tableau124[#All],3,FALSE)</f>
        <v>Vesoul</v>
      </c>
      <c r="E14" s="156">
        <f>VLOOKUP(Tableau10[[#This Row],[Colonne1]],Tableau124[#All],4,FALSE)</f>
        <v>70000</v>
      </c>
      <c r="F14" s="156" t="str">
        <f>VLOOKUP(Tableau10[[#This Row],[Colonne1]],Tableau124[#All],5,FALSE)</f>
        <v>MDA de Vesoul - 19, rue de la Banque</v>
      </c>
      <c r="G14" s="156" t="str">
        <f>VLOOKUP(Tableau10[[#This Row],[Colonne1]],Tableau124[#All],6,FALSE)</f>
        <v>CSAPA (consultations avancées)</v>
      </c>
      <c r="H14" s="156" t="str">
        <f>VLOOKUP(Tableau10[[#This Row],[Colonne1]],Tableau124[#All],7,FALSE)</f>
        <v>Association Addictions France en Haute-Saône - consultations avancées</v>
      </c>
      <c r="I14" s="156" t="str">
        <f>VLOOKUP(Tableau10[[#This Row],[Colonne1]],Tableau124[#All],8,FALSE)</f>
        <v>Associatif</v>
      </c>
      <c r="J14" s="317" t="str">
        <f>VLOOKUP(Tableau10[[#This Row],[Colonne1]],Tableau124[#All],9,FALSE)</f>
        <v>bfc70@addictions-france.org</v>
      </c>
      <c r="K14" s="244" t="str">
        <f>VLOOKUP(Tableau10[[#This Row],[Colonne1]],Tableau124[#All],10,FALSE)</f>
        <v>03-84-76-75-78</v>
      </c>
      <c r="L14" s="317" t="str">
        <f>VLOOKUP(Tableau10[[#This Row],[Colonne1]],Tableau124[#All],11,FALSE)</f>
        <v>https://addictions-france.org</v>
      </c>
      <c r="M14" s="105" t="str">
        <f>VLOOKUP(Tableau10[[#This Row],[Colonne1]],Tableau124[#All],12,FALSE)</f>
        <v>Jeudi 12h30 -16h</v>
      </c>
      <c r="N14" s="292" t="str">
        <f>VLOOKUP(Tableau10[[#This Row],[Colonne1]],Tableau124[#All],13,FALSE)</f>
        <v>Réalisation de consultations avancées</v>
      </c>
    </row>
    <row r="15" spans="1:15" ht="86.45" customHeight="1">
      <c r="B15" s="164">
        <v>108</v>
      </c>
      <c r="C15" s="156" t="str">
        <f>VLOOKUP(Tableau10[[#This Row],[Colonne1]],Tableau124[#All],2,FALSE)</f>
        <v>Haute-Saône (70)</v>
      </c>
      <c r="D15" s="221" t="str">
        <f>VLOOKUP(Tableau10[[#This Row],[Colonne1]],Tableau124[#All],3,FALSE)</f>
        <v>Vesoul</v>
      </c>
      <c r="E15" s="221">
        <f>VLOOKUP(Tableau10[[#This Row],[Colonne1]],Tableau124[#All],4,FALSE)</f>
        <v>70000</v>
      </c>
      <c r="F15" s="156" t="str">
        <f>VLOOKUP(Tableau10[[#This Row],[Colonne1]],Tableau124[#All],5,FALSE)</f>
        <v>AHSRA - 2, rue René Hologne</v>
      </c>
      <c r="G15" s="221" t="str">
        <f>VLOOKUP(Tableau10[[#This Row],[Colonne1]],Tableau124[#All],6,FALSE)</f>
        <v>CSAPA (consultations avancées)</v>
      </c>
      <c r="H15" s="221" t="str">
        <f>VLOOKUP(Tableau10[[#This Row],[Colonne1]],Tableau124[#All],7,FALSE)</f>
        <v>Association Addictions France en Haute-Saône - consultations avancées</v>
      </c>
      <c r="I15" s="221" t="str">
        <f>VLOOKUP(Tableau10[[#This Row],[Colonne1]],Tableau124[#All],8,FALSE)</f>
        <v>Associatif</v>
      </c>
      <c r="J15" s="317" t="str">
        <f>VLOOKUP(Tableau10[[#This Row],[Colonne1]],Tableau124[#All],9,FALSE)</f>
        <v>csapa.vesoul@addictions-france.org</v>
      </c>
      <c r="K15" s="244" t="str">
        <f>VLOOKUP(Tableau10[[#This Row],[Colonne1]],Tableau124[#All],10,FALSE)</f>
        <v>03-84-76-75-75</v>
      </c>
      <c r="L15" s="317" t="str">
        <f>VLOOKUP(Tableau10[[#This Row],[Colonne1]],Tableau124[#All],11,FALSE)</f>
        <v>https://addictions-france.org</v>
      </c>
      <c r="M15" s="105" t="str">
        <f>VLOOKUP(Tableau10[[#This Row],[Colonne1]],Tableau124[#All],12,FALSE)</f>
        <v xml:space="preserve"> Jeudi 9h-12h (semaines impaires) </v>
      </c>
      <c r="N15" s="292" t="str">
        <f>VLOOKUP(Tableau10[[#This Row],[Colonne1]],Tableau124[#All],13,FALSE)</f>
        <v>Réalisation de consultations avancées
Consultations avancées en CHRS</v>
      </c>
    </row>
    <row r="16" spans="1:15" ht="86.45" customHeight="1">
      <c r="B16" s="164">
        <v>109</v>
      </c>
      <c r="C16" s="156" t="str">
        <f>VLOOKUP(Tableau10[[#This Row],[Colonne1]],Tableau124[#All],2,FALSE)</f>
        <v>Haute-Saône (70)</v>
      </c>
      <c r="D16" s="221" t="str">
        <f>VLOOKUP(Tableau10[[#This Row],[Colonne1]],Tableau124[#All],3,FALSE)</f>
        <v>Vesoul</v>
      </c>
      <c r="E16" s="221">
        <f>VLOOKUP(Tableau10[[#This Row],[Colonne1]],Tableau124[#All],4,FALSE)</f>
        <v>70000</v>
      </c>
      <c r="F16" s="156" t="str">
        <f>VLOOKUP(Tableau10[[#This Row],[Colonne1]],Tableau124[#All],5,FALSE)</f>
        <v>Maison d'Arrêt - Place Beauchamp</v>
      </c>
      <c r="G16" s="221" t="str">
        <f>VLOOKUP(Tableau10[[#This Row],[Colonne1]],Tableau124[#All],6,FALSE)</f>
        <v>CSAPA (consultations avancées)</v>
      </c>
      <c r="H16" s="221" t="str">
        <f>VLOOKUP(Tableau10[[#This Row],[Colonne1]],Tableau124[#All],7,FALSE)</f>
        <v>Association Addictions France en Haute-Saône - consultations avancées</v>
      </c>
      <c r="I16" s="221" t="str">
        <f>VLOOKUP(Tableau10[[#This Row],[Colonne1]],Tableau124[#All],8,FALSE)</f>
        <v>Associatif</v>
      </c>
      <c r="J16" s="319" t="str">
        <f>VLOOKUP(Tableau10[[#This Row],[Colonne1]],Tableau124[#All],9,FALSE)</f>
        <v>csapa.vesoul@addictions-france.org</v>
      </c>
      <c r="K16" s="251" t="str">
        <f>VLOOKUP(Tableau10[[#This Row],[Colonne1]],Tableau124[#All],10,FALSE)</f>
        <v xml:space="preserve"> 03-84-76-75-75</v>
      </c>
      <c r="L16" s="317" t="str">
        <f>VLOOKUP(Tableau10[[#This Row],[Colonne1]],Tableau124[#All],11,FALSE)</f>
        <v>https://addictions-france.org</v>
      </c>
      <c r="M16" s="221" t="str">
        <f>VLOOKUP(Tableau10[[#This Row],[Colonne1]],Tableau124[#All],12,FALSE)</f>
        <v>Jeudi 13h30-16h30</v>
      </c>
      <c r="N16" s="389" t="str">
        <f>VLOOKUP(Tableau10[[#This Row],[Colonne1]],Tableau124[#All],13,FALSE)</f>
        <v>Réalisation de consultations avancées</v>
      </c>
    </row>
    <row r="17" spans="2:14" ht="86.45" customHeight="1">
      <c r="B17" s="164">
        <v>101</v>
      </c>
      <c r="C17" s="156" t="str">
        <f>VLOOKUP(Tableau10[[#This Row],[Colonne1]],Tableau124[#All],2,FALSE)</f>
        <v>Haute-Saône (70)</v>
      </c>
      <c r="D17" s="221" t="str">
        <f>VLOOKUP(Tableau10[[#This Row],[Colonne1]],Tableau124[#All],3,FALSE)</f>
        <v>Noidans-Le-Ferroux</v>
      </c>
      <c r="E17" s="221">
        <f>VLOOKUP(Tableau10[[#This Row],[Colonne1]],Tableau124[#All],4,FALSE)</f>
        <v>70130</v>
      </c>
      <c r="F17" s="156" t="str">
        <f>VLOOKUP(Tableau10[[#This Row],[Colonne1]],Tableau124[#All],5,FALSE)</f>
        <v>Maison Médicale - 20, rue du Centre</v>
      </c>
      <c r="G17" s="221" t="str">
        <f>VLOOKUP(Tableau10[[#This Row],[Colonne1]],Tableau124[#All],6,FALSE)</f>
        <v>CSAPA (consultations avancées)</v>
      </c>
      <c r="H17" s="221" t="str">
        <f>VLOOKUP(Tableau10[[#This Row],[Colonne1]],Tableau124[#All],7,FALSE)</f>
        <v>Association Addictions France en Haute-Saône- consultations avancées</v>
      </c>
      <c r="I17" s="221" t="str">
        <f>VLOOKUP(Tableau10[[#This Row],[Colonne1]],Tableau124[#All],8,FALSE)</f>
        <v>Associatif</v>
      </c>
      <c r="J17" s="317" t="str">
        <f>VLOOKUP(Tableau10[[#This Row],[Colonne1]],Tableau124[#All],9,FALSE)</f>
        <v>csapa.vesoul@addictions-france.org</v>
      </c>
      <c r="K17" s="244" t="str">
        <f>VLOOKUP(Tableau10[[#This Row],[Colonne1]],Tableau124[#All],10,FALSE)</f>
        <v>03-84-76-75-81</v>
      </c>
      <c r="L17" s="317" t="str">
        <f>VLOOKUP(Tableau10[[#This Row],[Colonne1]],Tableau124[#All],11,FALSE)</f>
        <v>https://addictions-france.org</v>
      </c>
      <c r="M17" s="105" t="str">
        <f>VLOOKUP(Tableau10[[#This Row],[Colonne1]],Tableau124[#All],12,FALSE)</f>
        <v>Lundi 9h-12h</v>
      </c>
      <c r="N17" s="292" t="str">
        <f>VLOOKUP(Tableau10[[#This Row],[Colonne1]],Tableau124[#All],13,FALSE)</f>
        <v>Réalisation de consultations avancées
MSMA – Intervention en Microstructure</v>
      </c>
    </row>
    <row r="18" spans="2:14" ht="86.45" customHeight="1">
      <c r="B18" s="164">
        <v>88</v>
      </c>
      <c r="C18" s="156" t="str">
        <f>VLOOKUP(Tableau10[[#This Row],[Colonne1]],Tableau124[#All],2,FALSE)</f>
        <v>Haute-Saône (70)</v>
      </c>
      <c r="D18" s="156" t="str">
        <f>VLOOKUP(Tableau10[[#This Row],[Colonne1]],Tableau124[#All],3,FALSE)</f>
        <v>Gray</v>
      </c>
      <c r="E18" s="156">
        <f>VLOOKUP(Tableau10[[#This Row],[Colonne1]],Tableau124[#All],4,FALSE)</f>
        <v>70100</v>
      </c>
      <c r="F18" s="156" t="str">
        <f>VLOOKUP(Tableau10[[#This Row],[Colonne1]],Tableau124[#All],5,FALSE)</f>
        <v>Centre de Périnatalité de Proximité de Gray  5 r Arsenal</v>
      </c>
      <c r="G18" s="156" t="str">
        <f>VLOOKUP(Tableau10[[#This Row],[Colonne1]],Tableau124[#All],6,FALSE)</f>
        <v>CSAPA (consultations avancées)</v>
      </c>
      <c r="H18" s="156" t="str">
        <f>VLOOKUP(Tableau10[[#This Row],[Colonne1]],Tableau124[#All],7,FALSE)</f>
        <v xml:space="preserve">CSAPA - Association Addictions France - consultations avancées - Centre de Périnatalité de Proximité de Gray </v>
      </c>
      <c r="I18" s="156" t="str">
        <f>VLOOKUP(Tableau10[[#This Row],[Colonne1]],Tableau124[#All],8,FALSE)</f>
        <v>Associatif</v>
      </c>
      <c r="J18" s="317" t="str">
        <f>VLOOKUP(Tableau10[[#This Row],[Colonne1]],Tableau124[#All],9,FALSE)</f>
        <v>csapa.gray@addictions-france.org</v>
      </c>
      <c r="K18" s="244" t="str">
        <f>VLOOKUP(Tableau10[[#This Row],[Colonne1]],Tableau124[#All],10,FALSE)</f>
        <v>03-84-64-64-62</v>
      </c>
      <c r="L18" s="317" t="str">
        <f>VLOOKUP(Tableau10[[#This Row],[Colonne1]],Tableau124[#All],11,FALSE)</f>
        <v xml:space="preserve"> https://addictions-france.org</v>
      </c>
      <c r="M18" s="105" t="str">
        <f>VLOOKUP(Tableau10[[#This Row],[Colonne1]],Tableau124[#All],12,FALSE)</f>
        <v>Lundi 13h30-17h sauf 1er lundi du mois : 9h-12h30 - Jeudi 13h30-17h</v>
      </c>
      <c r="N18" s="289" t="str">
        <f>VLOOKUP(Tableau10[[#This Row],[Colonne1]],Tableau124[#All],13,FALSE)</f>
        <v>Réalisation de consultations avancées</v>
      </c>
    </row>
    <row r="19" spans="2:14" ht="86.45" customHeight="1">
      <c r="B19" s="164">
        <v>95</v>
      </c>
      <c r="C19" s="156" t="str">
        <f>VLOOKUP(Tableau10[[#This Row],[Colonne1]],Tableau124[#All],2,FALSE)</f>
        <v>Haute-Saône (70)</v>
      </c>
      <c r="D19" s="156" t="str">
        <f>VLOOKUP(Tableau10[[#This Row],[Colonne1]],Tableau124[#All],3,FALSE)</f>
        <v>Lure</v>
      </c>
      <c r="E19" s="156">
        <f>VLOOKUP(Tableau10[[#This Row],[Colonne1]],Tableau124[#All],4,FALSE)</f>
        <v>70200</v>
      </c>
      <c r="F19" s="156" t="str">
        <f>VLOOKUP(Tableau10[[#This Row],[Colonne1]],Tableau124[#All],5,FALSE)</f>
        <v>Centre de Périnatalité de Proximité de Lure, 37 rue Carnot</v>
      </c>
      <c r="G19" s="156" t="str">
        <f>VLOOKUP(Tableau10[[#This Row],[Colonne1]],Tableau124[#All],6,FALSE)</f>
        <v>CSAPA (consultations avancées)</v>
      </c>
      <c r="H19" s="156" t="str">
        <f>VLOOKUP(Tableau10[[#This Row],[Colonne1]],Tableau124[#All],7,FALSE)</f>
        <v xml:space="preserve">CSAPA - Association Addictions France - consultations avancées - Centre de Périnatalité de Proximité de Lure </v>
      </c>
      <c r="I19" s="156" t="str">
        <f>VLOOKUP(Tableau10[[#This Row],[Colonne1]],Tableau124[#All],8,FALSE)</f>
        <v>Associatif</v>
      </c>
      <c r="J19" s="317" t="str">
        <f>VLOOKUP(Tableau10[[#This Row],[Colonne1]],Tableau124[#All],9,FALSE)</f>
        <v>luref.lorenzi@chi70.fr</v>
      </c>
      <c r="K19" s="244" t="str">
        <f>VLOOKUP(Tableau10[[#This Row],[Colonne1]],Tableau124[#All],10,FALSE)</f>
        <v>03 84 62 43 57</v>
      </c>
      <c r="L19" s="317" t="str">
        <f>VLOOKUP(Tableau10[[#This Row],[Colonne1]],Tableau124[#All],11,FALSE)</f>
        <v>www.addictions-france.org</v>
      </c>
      <c r="M19" s="105" t="str">
        <f>VLOOKUP(Tableau10[[#This Row],[Colonne1]],Tableau124[#All],12,FALSE)</f>
        <v>Le lundi, mercredi et jeudi de 08h00 à 12h00 et de 13h30 à 16h30, le mardi, vendredi de 08h30 à 16h30 au 03 84 62 43 57</v>
      </c>
      <c r="N19" s="292" t="str">
        <f>VLOOKUP(Tableau10[[#This Row],[Colonne1]],Tableau124[#All],13,FALSE)</f>
        <v>Réalisation de consultations avancées</v>
      </c>
    </row>
    <row r="20" spans="2:14" ht="86.45" customHeight="1">
      <c r="B20" s="164">
        <v>99</v>
      </c>
      <c r="C20" s="156" t="str">
        <f>VLOOKUP(Tableau10[[#This Row],[Colonne1]],Tableau124[#All],2,FALSE)</f>
        <v>Haute-Saône (70)</v>
      </c>
      <c r="D20" s="156" t="str">
        <f>VLOOKUP(Tableau10[[#This Row],[Colonne1]],Tableau124[#All],3,FALSE)</f>
        <v>Luxeuil-Les-Bains</v>
      </c>
      <c r="E20" s="156">
        <f>VLOOKUP(Tableau10[[#This Row],[Colonne1]],Tableau124[#All],4,FALSE)</f>
        <v>70300</v>
      </c>
      <c r="F20" s="156" t="str">
        <f>VLOOKUP(Tableau10[[#This Row],[Colonne1]],Tableau124[#All],5,FALSE)</f>
        <v>Centre de Périnatalité de Proximité de Luxueil, 12 rue Grammont</v>
      </c>
      <c r="G20" s="156" t="str">
        <f>VLOOKUP(Tableau10[[#This Row],[Colonne1]],Tableau124[#All],6,FALSE)</f>
        <v>CSAPA (consultations avancées)</v>
      </c>
      <c r="H20" s="156" t="str">
        <f>VLOOKUP(Tableau10[[#This Row],[Colonne1]],Tableau124[#All],7,FALSE)</f>
        <v xml:space="preserve">CSAPA - Association Addictions France - consultations avancées - Centre de Périnatalité de Proximité de Luxueil </v>
      </c>
      <c r="I20" s="156" t="str">
        <f>VLOOKUP(Tableau10[[#This Row],[Colonne1]],Tableau124[#All],8,FALSE)</f>
        <v>Associatif</v>
      </c>
      <c r="J20" s="317" t="str">
        <f>VLOOKUP(Tableau10[[#This Row],[Colonne1]],Tableau124[#All],9,FALSE)</f>
        <v>csapa.vesoul@addictions-france.org</v>
      </c>
      <c r="K20" s="244" t="str">
        <f>VLOOKUP(Tableau10[[#This Row],[Colonne1]],Tableau124[#All],10,FALSE)</f>
        <v>03-84-76-75-75</v>
      </c>
      <c r="L20" s="317" t="str">
        <f>VLOOKUP(Tableau10[[#This Row],[Colonne1]],Tableau124[#All],11,FALSE)</f>
        <v>https://addictions-france.org</v>
      </c>
      <c r="M20" s="105" t="str">
        <f>VLOOKUP(Tableau10[[#This Row],[Colonne1]],Tableau124[#All],12,FALSE)</f>
        <v>Du lundi au mercredi de 08h00 à 12h00 et de 13h30 à 17h00, le jeudi de 08h00 à 12h00 et de 14h00 à 18h00, le Vendredi 10h-12h30/13h30-16h</v>
      </c>
      <c r="N20" s="292" t="str">
        <f>VLOOKUP(Tableau10[[#This Row],[Colonne1]],Tableau124[#All],13,FALSE)</f>
        <v>Réalisation de consultations avancées</v>
      </c>
    </row>
    <row r="21" spans="2:14" ht="86.45" customHeight="1">
      <c r="B21" s="164">
        <v>90</v>
      </c>
      <c r="C21" s="101" t="str">
        <f>VLOOKUP(Tableau10[[#This Row],[Colonne1]],Tableau124[#All],2,FALSE)</f>
        <v>Haute-Saône (70)</v>
      </c>
      <c r="D21" s="101" t="str">
        <f>VLOOKUP(Tableau10[[#This Row],[Colonne1]],Tableau124[#All],3,FALSE)</f>
        <v>Héricourt</v>
      </c>
      <c r="E21" s="101">
        <f>VLOOKUP(Tableau10[[#This Row],[Colonne1]],Tableau124[#All],4,FALSE)</f>
        <v>70400</v>
      </c>
      <c r="F21" s="101" t="str">
        <f>VLOOKUP(Tableau10[[#This Row],[Colonne1]],Tableau124[#All],5,FALSE)</f>
        <v>25 avenue Léon Jouhaux, BP 6</v>
      </c>
      <c r="G21" s="156" t="str">
        <f>VLOOKUP(Tableau10[[#This Row],[Colonne1]],Tableau124[#All],6,FALSE)</f>
        <v>Antenne CSAPA</v>
      </c>
      <c r="H21" s="156" t="str">
        <f>VLOOKUP(Tableau10[[#This Row],[Colonne1]],Tableau124[#All],7,FALSE)</f>
        <v>CSAPA Le Relais Equinoxe - Association d'Hygiène Sociale de Franche Comté</v>
      </c>
      <c r="I21" s="156" t="str">
        <f>VLOOKUP(Tableau10[[#This Row],[Colonne1]],Tableau124[#All],8,FALSE)</f>
        <v>Associatif</v>
      </c>
      <c r="J21" s="317" t="str">
        <f>VLOOKUP(Tableau10[[#This Row],[Colonne1]],Tableau124[#All],9,FALSE)</f>
        <v>pole-addictologie.nfc@ahs-fc.fr</v>
      </c>
      <c r="K21" s="244" t="str">
        <f>VLOOKUP(Tableau10[[#This Row],[Colonne1]],Tableau124[#All],10,FALSE)</f>
        <v>03 84 36 67 07</v>
      </c>
      <c r="L21" s="317" t="str">
        <f>VLOOKUP(Tableau10[[#This Row],[Colonne1]],Tableau124[#All],11,FALSE)</f>
        <v>www.ahs-fc.fr</v>
      </c>
      <c r="M21" s="105" t="str">
        <f>VLOOKUP(Tableau10[[#This Row],[Colonne1]],Tableau124[#All],12,FALSE)</f>
        <v>Lundi au jeudi de 9h à 16h 
Vendredi : 9h-13h30 et 14h30-16h</v>
      </c>
      <c r="N21" s="396" t="str">
        <f>VLOOKUP(Tableau10[[#This Row],[Colonne1]],Tableau124[#All],13,FALSE)</f>
        <v xml:space="preserve"> </v>
      </c>
    </row>
    <row r="22" spans="2:14" ht="86.45" customHeight="1">
      <c r="B22" s="164">
        <v>86</v>
      </c>
      <c r="C22" s="156" t="str">
        <f>VLOOKUP(Tableau10[[#This Row],[Colonne1]],Tableau124[#All],2,FALSE)</f>
        <v>Haute-Saône (70)</v>
      </c>
      <c r="D22" s="156" t="str">
        <f>VLOOKUP(Tableau10[[#This Row],[Colonne1]],Tableau124[#All],3,FALSE)</f>
        <v>Gray</v>
      </c>
      <c r="E22" s="156">
        <f>VLOOKUP(Tableau10[[#This Row],[Colonne1]],Tableau124[#All],4,FALSE)</f>
        <v>70100</v>
      </c>
      <c r="F22" s="156" t="str">
        <f>VLOOKUP(Tableau10[[#This Row],[Colonne1]],Tableau124[#All],5,FALSE)</f>
        <v>Centre hospitalier - 5, rue de l'Arsenal</v>
      </c>
      <c r="G22" s="156" t="str">
        <f>VLOOKUP(Tableau10[[#This Row],[Colonne1]],Tableau124[#All],6,FALSE)</f>
        <v>Antenne CSAPA</v>
      </c>
      <c r="H22" s="156" t="str">
        <f>VLOOKUP(Tableau10[[#This Row],[Colonne1]],Tableau124[#All],7,FALSE)</f>
        <v>Association Addictions France en Haute-Saône</v>
      </c>
      <c r="I22" s="156" t="str">
        <f>VLOOKUP(Tableau10[[#This Row],[Colonne1]],Tableau124[#All],8,FALSE)</f>
        <v>Associatif</v>
      </c>
      <c r="J22" s="318" t="str">
        <f>VLOOKUP(Tableau10[[#This Row],[Colonne1]],Tableau124[#All],9,FALSE)</f>
        <v>cspsa.gray@addictions-france.org</v>
      </c>
      <c r="K22" s="238" t="str">
        <f>VLOOKUP(Tableau10[[#This Row],[Colonne1]],Tableau124[#All],10,FALSE)</f>
        <v>03-84-64-64-62</v>
      </c>
      <c r="L22" s="366" t="str">
        <f>VLOOKUP(Tableau10[[#This Row],[Colonne1]],Tableau124[#All],11,FALSE)</f>
        <v>https://addictions-france.org</v>
      </c>
      <c r="M22" s="101" t="str">
        <f>VLOOKUP(Tableau10[[#This Row],[Colonne1]],Tableau124[#All],12,FALSE)</f>
        <v>Vendredi 9h12h30 et 13h 16h</v>
      </c>
      <c r="N22" s="289" t="str">
        <f>VLOOKUP(Tableau10[[#This Row],[Colonne1]],Tableau124[#All],13,FALSE)</f>
        <v>Réalisation de consultations avancées</v>
      </c>
    </row>
    <row r="23" spans="2:14" ht="86.45" customHeight="1">
      <c r="B23" s="164">
        <v>96</v>
      </c>
      <c r="C23" s="156" t="str">
        <f>VLOOKUP(Tableau10[[#This Row],[Colonne1]],Tableau124[#All],2,FALSE)</f>
        <v>Haute-Saône (70)</v>
      </c>
      <c r="D23" s="156" t="str">
        <f>VLOOKUP(Tableau10[[#This Row],[Colonne1]],Tableau124[#All],3,FALSE)</f>
        <v>Luxeuil-Les-Bains</v>
      </c>
      <c r="E23" s="156">
        <f>VLOOKUP(Tableau10[[#This Row],[Colonne1]],Tableau124[#All],4,FALSE)</f>
        <v>70300</v>
      </c>
      <c r="F23" s="156" t="str">
        <f>VLOOKUP(Tableau10[[#This Row],[Colonne1]],Tableau124[#All],5,FALSE)</f>
        <v>Groupe Hospitalier - 2, rue Grammont</v>
      </c>
      <c r="G23" s="156" t="str">
        <f>VLOOKUP(Tableau10[[#This Row],[Colonne1]],Tableau124[#All],6,FALSE)</f>
        <v>Antenne CSAPA</v>
      </c>
      <c r="H23" s="156" t="str">
        <f>VLOOKUP(Tableau10[[#This Row],[Colonne1]],Tableau124[#All],7,FALSE)</f>
        <v>Association Addictions France en Haute-Saône</v>
      </c>
      <c r="I23" s="156" t="str">
        <f>VLOOKUP(Tableau10[[#This Row],[Colonne1]],Tableau124[#All],8,FALSE)</f>
        <v>Associatif</v>
      </c>
      <c r="J23" s="318" t="str">
        <f>VLOOKUP(Tableau10[[#This Row],[Colonne1]],Tableau124[#All],9,FALSE)</f>
        <v>csapa.vesoul@addicitions-france.org</v>
      </c>
      <c r="K23" s="238" t="str">
        <f>VLOOKUP(Tableau10[[#This Row],[Colonne1]],Tableau124[#All],10,FALSE)</f>
        <v>03-84-76-75-75</v>
      </c>
      <c r="L23" s="366" t="str">
        <f>VLOOKUP(Tableau10[[#This Row],[Colonne1]],Tableau124[#All],11,FALSE)</f>
        <v>https://addictions-france.org</v>
      </c>
      <c r="M23" s="101" t="str">
        <f>VLOOKUP(Tableau10[[#This Row],[Colonne1]],Tableau124[#All],12,FALSE)</f>
        <v>Mardi 9h-12h30/13h30-17h - Mercredi 9h-12h30 - Jeudi 9h-12h - Vendredi 9h-12h30/13h-16h30</v>
      </c>
      <c r="N23" s="426" t="str">
        <f>VLOOKUP(Tableau10[[#This Row],[Colonne1]],Tableau124[#All],13,FALSE)</f>
        <v xml:space="preserve">  </v>
      </c>
    </row>
    <row r="24" spans="2:14" ht="86.45" customHeight="1">
      <c r="B24" s="164">
        <v>103</v>
      </c>
      <c r="C24" s="203" t="str">
        <f>VLOOKUP(Tableau10[[#This Row],[Colonne1]],Tableau124[#All],2,FALSE)</f>
        <v>Haute-Saône (70)</v>
      </c>
      <c r="D24" s="203" t="str">
        <f>VLOOKUP(Tableau10[[#This Row],[Colonne1]],Tableau124[#All],3,FALSE)</f>
        <v>Vesoul</v>
      </c>
      <c r="E24" s="203" t="str">
        <f>VLOOKUP(Tableau10[[#This Row],[Colonne1]],Tableau124[#All],4,FALSE)</f>
        <v>70000</v>
      </c>
      <c r="F24" s="203" t="str">
        <f>VLOOKUP(Tableau10[[#This Row],[Colonne1]],Tableau124[#All],5,FALSE)</f>
        <v>27 Av. Aristide Briand</v>
      </c>
      <c r="G24" s="203" t="str">
        <f>VLOOKUP(Tableau10[[#This Row],[Colonne1]],Tableau124[#All],6,FALSE)</f>
        <v>CAARUD</v>
      </c>
      <c r="H24" s="203" t="str">
        <f>VLOOKUP(Tableau10[[#This Row],[Colonne1]],Tableau124[#All],7,FALSE)</f>
        <v>Association Addictions France en Haute-Saône</v>
      </c>
      <c r="I24" s="203" t="str">
        <f>VLOOKUP(Tableau10[[#This Row],[Colonne1]],Tableau124[#All],8,FALSE)</f>
        <v>Associatif</v>
      </c>
      <c r="J24" s="359" t="str">
        <f>VLOOKUP(Tableau10[[#This Row],[Colonne1]],Tableau124[#All],9,FALSE)</f>
        <v>caarud.vesoul@addictions-france.org</v>
      </c>
      <c r="K24" s="240">
        <f>VLOOKUP(Tableau10[[#This Row],[Colonne1]],Tableau124[#All],10,FALSE)</f>
        <v>384767575</v>
      </c>
      <c r="L24" s="361" t="str">
        <f>VLOOKUP(Tableau10[[#This Row],[Colonne1]],Tableau124[#All],11,FALSE)</f>
        <v>https://addictions-france.org</v>
      </c>
      <c r="M24" s="204" t="str">
        <f>VLOOKUP(Tableau10[[#This Row],[Colonne1]],Tableau124[#All],12,FALSE)</f>
        <v>Lundi : 14h-16h30
Mardi, mercredi et jeudi : 9h-12h
Vendredi : 9h-12h/14h-16h</v>
      </c>
      <c r="N24" s="425" t="str">
        <f>VLOOKUP(Tableau10[[#This Row],[Colonne1]],Tableau124[#All],13,FALSE)</f>
        <v>Unité mobile pouvant servir de lieu d'accueil (déplacement possible sur l’ensemble du territoire Haut-Saônois) ; 
Programme d'échange de seringues ;
Intervention en maraude ; 
Intervention en milieu festif.</v>
      </c>
    </row>
    <row r="25" spans="2:14" ht="86.45" customHeight="1">
      <c r="B25" s="164">
        <v>89</v>
      </c>
      <c r="C25" s="474" t="str">
        <f>VLOOKUP(Tableau10[[#This Row],[Colonne1]],Tableau124[#All],2,FALSE)</f>
        <v>Haute-Saône (70)</v>
      </c>
      <c r="D25" s="433" t="str">
        <f>VLOOKUP(Tableau10[[#This Row],[Colonne1]],Tableau124[#All],3,FALSE)</f>
        <v xml:space="preserve">Gray </v>
      </c>
      <c r="E25" s="433">
        <f>VLOOKUP(Tableau10[[#This Row],[Colonne1]],Tableau124[#All],4,FALSE)</f>
        <v>70100</v>
      </c>
      <c r="F25" s="433" t="str">
        <f>VLOOKUP(Tableau10[[#This Row],[Colonne1]],Tableau124[#All],5,FALSE)</f>
        <v>Antenne de Gray  – Centre Hospitalier – 5, rue de l’Arsenal</v>
      </c>
      <c r="G25" s="433" t="str">
        <f>VLOOKUP(Tableau10[[#This Row],[Colonne1]],Tableau124[#All],6,FALSE)</f>
        <v>CJC</v>
      </c>
      <c r="H25" s="474" t="str">
        <f>VLOOKUP(Tableau10[[#This Row],[Colonne1]],Tableau124[#All],7,FALSE)</f>
        <v>Association Addictions France en Haute-Saône</v>
      </c>
      <c r="I25" s="433" t="str">
        <f>VLOOKUP(Tableau10[[#This Row],[Colonne1]],Tableau124[#All],8,FALSE)</f>
        <v>Associatif</v>
      </c>
      <c r="J25" s="431" t="str">
        <f>VLOOKUP(Tableau10[[#This Row],[Colonne1]],Tableau124[#All],9,FALSE)</f>
        <v>csapa.gray@addictions-france.org</v>
      </c>
      <c r="K25" s="432" t="str">
        <f>VLOOKUP(Tableau10[[#This Row],[Colonne1]],Tableau124[#All],10,FALSE)</f>
        <v xml:space="preserve"> 03-84-64-64-62</v>
      </c>
      <c r="L25" s="431" t="str">
        <f>VLOOKUP(Tableau10[[#This Row],[Colonne1]],Tableau124[#All],11,FALSE)</f>
        <v>https://addictions-france.org</v>
      </c>
      <c r="M25" s="430" t="str">
        <f>VLOOKUP(Tableau10[[#This Row],[Colonne1]],Tableau124[#All],12,FALSE)</f>
        <v xml:space="preserve">Jeudi 12h30-16h </v>
      </c>
      <c r="N25" s="615" t="str">
        <f>VLOOKUP(Tableau10[[#This Row],[Colonne1]],Tableau124[#All],13,FALSE)</f>
        <v xml:space="preserve"> Locaux identiques à ceux du CSAPA ; Orientation sur rendez-vous ; accessible à la famille et l'entourage</v>
      </c>
    </row>
    <row r="26" spans="2:14" ht="86.45" customHeight="1">
      <c r="B26" s="164">
        <v>104</v>
      </c>
      <c r="C26" s="429" t="str">
        <f>VLOOKUP(Tableau10[[#This Row],[Colonne1]],Tableau124[#All],2,FALSE)</f>
        <v>Haute-Saône (70)</v>
      </c>
      <c r="D26" s="429" t="str">
        <f>VLOOKUP(Tableau10[[#This Row],[Colonne1]],Tableau124[#All],3,FALSE)</f>
        <v>Vesoul</v>
      </c>
      <c r="E26" s="429" t="str">
        <f>VLOOKUP(Tableau10[[#This Row],[Colonne1]],Tableau124[#All],4,FALSE)</f>
        <v>70000</v>
      </c>
      <c r="F26" s="429" t="str">
        <f>VLOOKUP(Tableau10[[#This Row],[Colonne1]],Tableau124[#All],5,FALSE)</f>
        <v>27 Av. Aristide Briand</v>
      </c>
      <c r="G26" s="429" t="str">
        <f>VLOOKUP(Tableau10[[#This Row],[Colonne1]],Tableau124[#All],6,FALSE)</f>
        <v>CJC</v>
      </c>
      <c r="H26" s="429" t="str">
        <f>VLOOKUP(Tableau10[[#This Row],[Colonne1]],Tableau124[#All],7,FALSE)</f>
        <v>Association Addictions France en Haute-Saône</v>
      </c>
      <c r="I26" s="429" t="str">
        <f>VLOOKUP(Tableau10[[#This Row],[Colonne1]],Tableau124[#All],8,FALSE)</f>
        <v>Associatif</v>
      </c>
      <c r="J26" s="431" t="str">
        <f>VLOOKUP(Tableau10[[#This Row],[Colonne1]],Tableau124[#All],9,FALSE)</f>
        <v>csapa.vesoul@addictions-france.org</v>
      </c>
      <c r="K26" s="432" t="str">
        <f>VLOOKUP(Tableau10[[#This Row],[Colonne1]],Tableau124[#All],10,FALSE)</f>
        <v>03-84-76-75-75</v>
      </c>
      <c r="L26" s="431" t="str">
        <f>VLOOKUP(Tableau10[[#This Row],[Colonne1]],Tableau124[#All],11,FALSE)</f>
        <v>https://addictions-france.org</v>
      </c>
      <c r="M26" s="433" t="str">
        <f>VLOOKUP(Tableau10[[#This Row],[Colonne1]],Tableau124[#All],12,FALSE)</f>
        <v xml:space="preserve">Lundi, jeudi et vendredi : 8h30-12h30 / 13h-17h
Mardi : 8h30-12h30 / 13h-19h (fermeture de 14h à 16h les 2èmes mardis du mois)
Mercredi 13h-16h30 (semaines impaires) </v>
      </c>
      <c r="N26" s="616" t="str">
        <f>VLOOKUP(Tableau10[[#This Row],[Colonne1]],Tableau124[#All],13,FALSE)</f>
        <v>- Accueil des familles ; 
- Orientation sur rendez-vous ;
- CJC accessible à la famille et l'entourage ; 
- locaux identiques à ceux du CSAPA. 
Accessible à la famille et l'entourage</v>
      </c>
    </row>
    <row r="27" spans="2:14" ht="86.45" customHeight="1">
      <c r="B27" s="428">
        <v>128</v>
      </c>
      <c r="C27" s="400" t="str">
        <f>VLOOKUP(Tableau10[[#This Row],[Colonne1]],Tableau124[#All],2,FALSE)</f>
        <v>Jura (39)</v>
      </c>
      <c r="D27" s="400" t="str">
        <f>VLOOKUP(Tableau10[[#This Row],[Colonne1]],Tableau124[#All],3,FALSE)</f>
        <v>Lons Le Saunier</v>
      </c>
      <c r="E27" s="400" t="str">
        <f>VLOOKUP(Tableau10[[#This Row],[Colonne1]],Tableau124[#All],4,FALSE)</f>
        <v>39000</v>
      </c>
      <c r="F27" s="400" t="str">
        <f>VLOOKUP(Tableau10[[#This Row],[Colonne1]],Tableau124[#All],5,FALSE)</f>
        <v>8 rue Jules Bury</v>
      </c>
      <c r="G27" s="400" t="str">
        <f>VLOOKUP(Tableau10[[#This Row],[Colonne1]],Tableau124[#All],6,FALSE)</f>
        <v>CAARUD de réduction des risques et des dommages à distance</v>
      </c>
      <c r="H27" s="400" t="str">
        <f>VLOOKUP(Tableau10[[#This Row],[Colonne1]],Tableau124[#All],7,FALSE)</f>
        <v>CAARUD Oppelia Passerelle 39</v>
      </c>
      <c r="I27" s="400" t="str">
        <f>VLOOKUP(Tableau10[[#This Row],[Colonne1]],Tableau124[#All],8,FALSE)</f>
        <v>Associatif</v>
      </c>
      <c r="J27" s="610" t="str">
        <f>VLOOKUP(Tableau10[[#This Row],[Colonne1]],Tableau124[#All],9,FALSE)</f>
        <v>contactp39@oppelia.fr</v>
      </c>
      <c r="K27" s="415" t="str">
        <f>VLOOKUP(Tableau10[[#This Row],[Colonne1]],Tableau124[#All],10,FALSE)</f>
        <v>03 84 24 66 83</v>
      </c>
      <c r="L27" s="401" t="str">
        <f>VLOOKUP(Tableau10[[#This Row],[Colonne1]],Tableau124[#All],11,FALSE)</f>
        <v>https://www.oppelia.fr/etablissement/passerelle-39-lons-le-saunier/</v>
      </c>
      <c r="M27" s="400" t="str">
        <f>VLOOKUP(Tableau10[[#This Row],[Colonne1]],Tableau124[#All],12,FALSE)</f>
        <v>Accueil fixe: mardi de 13h30 à 17h00, mercredi de 8h00 à 12h30, jeudi de 16h30 à 20h00</v>
      </c>
      <c r="N27" s="403" t="str">
        <f>VLOOKUP(Tableau10[[#This Row],[Colonne1]],Tableau124[#All],13,FALSE)</f>
        <v>- Permanences d'accueil ou accueil sur rendez-vous
- unité mobile pouvant servir de lieu d'accueil (déplacements sur tout le département du Jura) ; 
- programme d'échange de seringues ;
- intervention en maraude ; 
- mise à disposition de matériel de consommation à moindre risque ;
- proposition de test rapide d'orientation diagnostic (TROD) ; 
- dispositif TAPAJ
- intervention en milieu festif ;
- intervention en milieu pénitentier à la Maison d'arrêt de Lons-le-Saunier.</v>
      </c>
    </row>
    <row r="28" spans="2:14" ht="86.45" customHeight="1">
      <c r="B28" s="164">
        <v>93</v>
      </c>
      <c r="C28" s="111" t="str">
        <f>VLOOKUP(Tableau10[[#This Row],[Colonne1]],Tableau124[#All],2,FALSE)</f>
        <v>Haute-Saône (70)</v>
      </c>
      <c r="D28" s="111" t="str">
        <f>VLOOKUP(Tableau10[[#This Row],[Colonne1]],Tableau124[#All],3,FALSE)</f>
        <v>Lure</v>
      </c>
      <c r="E28" s="111">
        <f>VLOOKUP(Tableau10[[#This Row],[Colonne1]],Tableau124[#All],4,FALSE)</f>
        <v>70200</v>
      </c>
      <c r="F28" s="111" t="str">
        <f>VLOOKUP(Tableau10[[#This Row],[Colonne1]],Tableau124[#All],5,FALSE)</f>
        <v>37 rue Carnot</v>
      </c>
      <c r="G28" s="111" t="str">
        <f>VLOOKUP(Tableau10[[#This Row],[Colonne1]],Tableau124[#All],6,FALSE)</f>
        <v>Consultations Hospitalières externes d'addictologie (autre lieu d'intervention)</v>
      </c>
      <c r="H28" s="111" t="str">
        <f>VLOOKUP(Tableau10[[#This Row],[Colonne1]],Tableau124[#All],7,FALSE)</f>
        <v>Consultation d'addictologie et de tabacologie (Groupe Hospitalier de la Haute-Saône (GH70))</v>
      </c>
      <c r="I28" s="111" t="str">
        <f>VLOOKUP(Tableau10[[#This Row],[Colonne1]],Tableau124[#All],8,FALSE)</f>
        <v>Public</v>
      </c>
      <c r="J28" s="312" t="str">
        <f>VLOOKUP(Tableau10[[#This Row],[Colonne1]],Tableau124[#All],9,FALSE)</f>
        <v>contact@gh70.fr</v>
      </c>
      <c r="K28" s="242" t="str">
        <f>VLOOKUP(Tableau10[[#This Row],[Colonne1]],Tableau124[#All],10,FALSE)</f>
        <v>03 84 62 43 82</v>
      </c>
      <c r="L28" s="311" t="str">
        <f>VLOOKUP(Tableau10[[#This Row],[Colonne1]],Tableau124[#All],11,FALSE)</f>
        <v>https://www.gh70.fr</v>
      </c>
      <c r="M28" s="246" t="str">
        <f>VLOOKUP(Tableau10[[#This Row],[Colonne1]],Tableau124[#All],12,FALSE)</f>
        <v>9h - 17h du lundi au vendredi</v>
      </c>
      <c r="N28" s="424" t="str">
        <f>VLOOKUP(Tableau10[[#This Row],[Colonne1]],Tableau124[#All],13,FALSE)</f>
        <v>Intervention auprès de public majeurs et mineurs ainsi qu'au Groupe Hospitalier de la Haute-Saône (GH70)</v>
      </c>
    </row>
    <row r="29" spans="2:14" ht="86.45" customHeight="1">
      <c r="B29" s="164">
        <v>97</v>
      </c>
      <c r="C29" s="111" t="str">
        <f>VLOOKUP(Tableau10[[#This Row],[Colonne1]],Tableau124[#All],2,FALSE)</f>
        <v>Haute-Saône (70)</v>
      </c>
      <c r="D29" s="111" t="str">
        <f>VLOOKUP(Tableau10[[#This Row],[Colonne1]],Tableau124[#All],3,FALSE)</f>
        <v>Luxeuil-Les-Bains</v>
      </c>
      <c r="E29" s="111">
        <f>VLOOKUP(Tableau10[[#This Row],[Colonne1]],Tableau124[#All],4,FALSE)</f>
        <v>70300</v>
      </c>
      <c r="F29" s="111" t="str">
        <f>VLOOKUP(Tableau10[[#This Row],[Colonne1]],Tableau124[#All],5,FALSE)</f>
        <v>12 rue Grammont</v>
      </c>
      <c r="G29" s="111" t="str">
        <f>VLOOKUP(Tableau10[[#This Row],[Colonne1]],Tableau124[#All],6,FALSE)</f>
        <v>Consultations Hospitalières externes d'addictologie (autre lieu d'intervention)</v>
      </c>
      <c r="H29" s="111" t="str">
        <f>VLOOKUP(Tableau10[[#This Row],[Colonne1]],Tableau124[#All],7,FALSE)</f>
        <v>Consultation d'addictologie et de tabacologie (Groupe Hospitalier de la Haute-Saône (GH70))</v>
      </c>
      <c r="I29" s="111" t="str">
        <f>VLOOKUP(Tableau10[[#This Row],[Colonne1]],Tableau124[#All],8,FALSE)</f>
        <v>Public</v>
      </c>
      <c r="J29" s="312" t="str">
        <f>VLOOKUP(Tableau10[[#This Row],[Colonne1]],Tableau124[#All],9,FALSE)</f>
        <v>contact@gh70.fr</v>
      </c>
      <c r="K29" s="242" t="str">
        <f>VLOOKUP(Tableau10[[#This Row],[Colonne1]],Tableau124[#All],10,FALSE)</f>
        <v>03 84 62 43 82</v>
      </c>
      <c r="L29" s="311" t="str">
        <f>VLOOKUP(Tableau10[[#This Row],[Colonne1]],Tableau124[#All],11,FALSE)</f>
        <v>https://www.gh70.fr</v>
      </c>
      <c r="M29" s="246" t="str">
        <f>VLOOKUP(Tableau10[[#This Row],[Colonne1]],Tableau124[#All],12,FALSE)</f>
        <v>mardi matin</v>
      </c>
      <c r="N29" s="424" t="str">
        <f>VLOOKUP(Tableau10[[#This Row],[Colonne1]],Tableau124[#All],13,FALSE)</f>
        <v>Intervention auprès de public majeurs et mineurs ainsi qu'au Groupe Hospitalier de la Haute-Saône (GH70)</v>
      </c>
    </row>
    <row r="30" spans="2:14" ht="86.45" customHeight="1">
      <c r="B30" s="164">
        <v>105</v>
      </c>
      <c r="C30" s="111" t="str">
        <f>VLOOKUP(Tableau10[[#This Row],[Colonne1]],Tableau124[#All],2,FALSE)</f>
        <v>Haute-Saône (70)</v>
      </c>
      <c r="D30" s="111" t="str">
        <f>VLOOKUP(Tableau10[[#This Row],[Colonne1]],Tableau124[#All],3,FALSE)</f>
        <v>Vesoul</v>
      </c>
      <c r="E30" s="111">
        <f>VLOOKUP(Tableau10[[#This Row],[Colonne1]],Tableau124[#All],4,FALSE)</f>
        <v>70000</v>
      </c>
      <c r="F30" s="111" t="str">
        <f>VLOOKUP(Tableau10[[#This Row],[Colonne1]],Tableau124[#All],5,FALSE)</f>
        <v>2 Rue René Heymes</v>
      </c>
      <c r="G30" s="111" t="str">
        <f>VLOOKUP(Tableau10[[#This Row],[Colonne1]],Tableau124[#All],6,FALSE)</f>
        <v>Consultations Hospitalières externes d'addictologie (autre lieu d'intervention)</v>
      </c>
      <c r="H30" s="111" t="str">
        <f>VLOOKUP(Tableau10[[#This Row],[Colonne1]],Tableau124[#All],7,FALSE)</f>
        <v>Consultation d'addictologie et de tabacologie (Groupe Hospitalier de la Haute-Saône (GH70))</v>
      </c>
      <c r="I30" s="111" t="str">
        <f>VLOOKUP(Tableau10[[#This Row],[Colonne1]],Tableau124[#All],8,FALSE)</f>
        <v>Public</v>
      </c>
      <c r="J30" s="312" t="str">
        <f>VLOOKUP(Tableau10[[#This Row],[Colonne1]],Tableau124[#All],9,FALSE)</f>
        <v>contact@gh70.fr</v>
      </c>
      <c r="K30" s="242" t="str">
        <f>VLOOKUP(Tableau10[[#This Row],[Colonne1]],Tableau124[#All],10,FALSE)</f>
        <v>03 84 62 43 82</v>
      </c>
      <c r="L30" s="311" t="str">
        <f>VLOOKUP(Tableau10[[#This Row],[Colonne1]],Tableau124[#All],11,FALSE)</f>
        <v>https://www.gh70.fr</v>
      </c>
      <c r="M30" s="246" t="str">
        <f>VLOOKUP(Tableau10[[#This Row],[Colonne1]],Tableau124[#All],12,FALSE)</f>
        <v>9h - 17h du lundi au vendredi</v>
      </c>
      <c r="N30" s="424" t="str">
        <f>VLOOKUP(Tableau10[[#This Row],[Colonne1]],Tableau124[#All],13,FALSE)</f>
        <v>Intervention auprès de public majeurs et mineurs ainsi qu'au Groupe Hospitalier de la Haute-Saône (GH70)</v>
      </c>
    </row>
    <row r="31" spans="2:14" ht="86.45" customHeight="1">
      <c r="B31" s="164">
        <v>100</v>
      </c>
      <c r="C31" s="429" t="str">
        <f>VLOOKUP(Tableau10[[#This Row],[Colonne1]],Tableau124[#All],2,FALSE)</f>
        <v>Haute-Saône (70)</v>
      </c>
      <c r="D31" s="430" t="str">
        <f>VLOOKUP(Tableau10[[#This Row],[Colonne1]],Tableau124[#All],3,FALSE)</f>
        <v>Luxueil-les-Bains</v>
      </c>
      <c r="E31" s="430">
        <f>VLOOKUP(Tableau10[[#This Row],[Colonne1]],Tableau124[#All],4,FALSE)</f>
        <v>70300</v>
      </c>
      <c r="F31" s="430" t="str">
        <f>VLOOKUP(Tableau10[[#This Row],[Colonne1]],Tableau124[#All],5,FALSE)</f>
        <v>MDA, Place du 8 mai 1945 70300 LUXEUIL-LES-BAINS</v>
      </c>
      <c r="G31" s="430" t="str">
        <f>VLOOKUP(Tableau10[[#This Row],[Colonne1]],Tableau124[#All],6,FALSE)</f>
        <v>CJC</v>
      </c>
      <c r="H31" s="430" t="str">
        <f>VLOOKUP(Tableau10[[#This Row],[Colonne1]],Tableau124[#All],7,FALSE)</f>
        <v>CSAPA Vesoul</v>
      </c>
      <c r="I31" s="430" t="str">
        <f>VLOOKUP(Tableau10[[#This Row],[Colonne1]],Tableau124[#All],8,FALSE)</f>
        <v>Associatif</v>
      </c>
      <c r="J31" s="431" t="str">
        <f>VLOOKUP(Tableau10[[#This Row],[Colonne1]],Tableau124[#All],9,FALSE)</f>
        <v>csapa.vesoul@addictions-france.org</v>
      </c>
      <c r="K31" s="432" t="str">
        <f>VLOOKUP(Tableau10[[#This Row],[Colonne1]],Tableau124[#All],10,FALSE)</f>
        <v>03-84-76-75-75</v>
      </c>
      <c r="L31" s="257"/>
      <c r="M31" s="257"/>
      <c r="N31" s="435" t="str">
        <f>VLOOKUP(Tableau10[[#This Row],[Colonne1]],Tableau124[#All],13,FALSE)</f>
        <v>CJC avancées ; Orientation sur rendez-vous ; accessible à la famille et l'entourage</v>
      </c>
    </row>
    <row r="32" spans="2:14" ht="86.45" customHeight="1">
      <c r="B32" s="164">
        <v>114</v>
      </c>
      <c r="C32" s="429" t="str">
        <f>VLOOKUP(Tableau10[[#This Row],[Colonne1]],Tableau124[#All],2,FALSE)</f>
        <v>Haute-Saône (70)</v>
      </c>
      <c r="D32" s="430" t="str">
        <f>VLOOKUP(Tableau10[[#This Row],[Colonne1]],Tableau124[#All],3,FALSE)</f>
        <v>Vesoul</v>
      </c>
      <c r="E32" s="430">
        <f>VLOOKUP(Tableau10[[#This Row],[Colonne1]],Tableau124[#All],4,FALSE)</f>
        <v>70000</v>
      </c>
      <c r="F32" s="430" t="str">
        <f>VLOOKUP(Tableau10[[#This Row],[Colonne1]],Tableau124[#All],5,FALSE)</f>
        <v>MDA Vesoul : 19 rue de la Banque 4ème étage</v>
      </c>
      <c r="G32" s="429" t="str">
        <f>VLOOKUP(Tableau10[[#This Row],[Colonne1]],Tableau124[#All],6,FALSE)</f>
        <v>CJC</v>
      </c>
      <c r="H32" s="429" t="str">
        <f>VLOOKUP(Tableau10[[#This Row],[Colonne1]],Tableau124[#All],7,FALSE)</f>
        <v>CSAPA Vesoul</v>
      </c>
      <c r="I32" s="430" t="str">
        <f>VLOOKUP(Tableau10[[#This Row],[Colonne1]],Tableau124[#All],8,FALSE)</f>
        <v>Associatif</v>
      </c>
      <c r="J32" s="431" t="str">
        <f>VLOOKUP(Tableau10[[#This Row],[Colonne1]],Tableau124[#All],9,FALSE)</f>
        <v>csapa.vesoul@addictions-france.org</v>
      </c>
      <c r="K32" s="432" t="str">
        <f>VLOOKUP(Tableau10[[#This Row],[Colonne1]],Tableau124[#All],10,FALSE)</f>
        <v>03-84-76-75-75</v>
      </c>
      <c r="L32" s="431" t="str">
        <f>VLOOKUP(Tableau10[[#This Row],[Colonne1]],Tableau124[#All],11,FALSE)</f>
        <v>https://addictions-france.org</v>
      </c>
      <c r="M32" s="257"/>
      <c r="N32" s="435" t="str">
        <f>VLOOKUP(Tableau10[[#This Row],[Colonne1]],Tableau124[#All],13,FALSE)</f>
        <v>CJC avancées ; Orientation sur rendez-vous ; accessible à la famille et l'entourage</v>
      </c>
    </row>
    <row r="33" spans="1:14" ht="86.45" customHeight="1">
      <c r="B33" s="164">
        <v>110</v>
      </c>
      <c r="C33" s="126" t="str">
        <f>VLOOKUP(Tableau10[[#This Row],[Colonne1]],Tableau124[#All],2,FALSE)</f>
        <v>Haute-Saône (70)</v>
      </c>
      <c r="D33" s="126" t="str">
        <f>VLOOKUP(Tableau10[[#This Row],[Colonne1]],Tableau124[#All],3,FALSE)</f>
        <v>Vesoul</v>
      </c>
      <c r="E33" s="126" t="str">
        <f>VLOOKUP(Tableau10[[#This Row],[Colonne1]],Tableau124[#All],4,FALSE)</f>
        <v>70000</v>
      </c>
      <c r="F33" s="126" t="str">
        <f>VLOOKUP(Tableau10[[#This Row],[Colonne1]],Tableau124[#All],5,FALSE)</f>
        <v>Groupe Hospitalier de la Haute-Saône (GH70), 2 rue René Heymes, Dans plusieurs services</v>
      </c>
      <c r="G33" s="128" t="str">
        <f>VLOOKUP(Tableau10[[#This Row],[Colonne1]],Tableau124[#All],6,FALSE)</f>
        <v>ELSA</v>
      </c>
      <c r="H33" s="210" t="str">
        <f>VLOOKUP(Tableau10[[#This Row],[Colonne1]],Tableau124[#All],7,FALSE)</f>
        <v>Groupe Hospitalier de la Haute-Saône (GH70)</v>
      </c>
      <c r="I33" s="126" t="str">
        <f>VLOOKUP(Tableau10[[#This Row],[Colonne1]],Tableau124[#All],8,FALSE)</f>
        <v>Public</v>
      </c>
      <c r="J33" s="327" t="str">
        <f>VLOOKUP(Tableau10[[#This Row],[Colonne1]],Tableau124[#All],9,FALSE)</f>
        <v>contact@gh70.fr</v>
      </c>
      <c r="K33" s="371" t="str">
        <f>VLOOKUP(Tableau10[[#This Row],[Colonne1]],Tableau124[#All],10,FALSE)</f>
        <v>03 84 96 29 66</v>
      </c>
      <c r="L33" s="327" t="str">
        <f>VLOOKUP(Tableau10[[#This Row],[Colonne1]],Tableau124[#All],11,FALSE)</f>
        <v>https://www.gh70.fr</v>
      </c>
      <c r="M33" s="257" t="str">
        <f>VLOOKUP(Tableau10[[#This Row],[Colonne1]],Tableau124[#All],12,FALSE)</f>
        <v xml:space="preserve">  </v>
      </c>
      <c r="N33" s="387" t="str">
        <f>VLOOKUP(Tableau10[[#This Row],[Colonne1]],Tableau124[#All],13,FALSE)</f>
        <v>- intervention auprès de public majeur ; 
- L'ELSA intervient tous les jours et à titre systématique aux urgences et dans tous les services de tous les sites du GH sur demande des services.</v>
      </c>
    </row>
    <row r="34" spans="1:14" ht="86.45" customHeight="1">
      <c r="B34" s="164">
        <v>111</v>
      </c>
      <c r="C34" s="228" t="str">
        <f>VLOOKUP(Tableau10[[#This Row],[Colonne1]],Tableau124[#All],2,FALSE)</f>
        <v>Haute-Saône (70)</v>
      </c>
      <c r="D34" s="228" t="str">
        <f>VLOOKUP(Tableau10[[#This Row],[Colonne1]],Tableau124[#All],3,FALSE)</f>
        <v>Vesoul</v>
      </c>
      <c r="E34" s="228" t="str">
        <f>VLOOKUP(Tableau10[[#This Row],[Colonne1]],Tableau124[#All],4,FALSE)</f>
        <v>70000</v>
      </c>
      <c r="F34" s="228" t="str">
        <f>VLOOKUP(Tableau10[[#This Row],[Colonne1]],Tableau124[#All],5,FALSE)</f>
        <v>GH70 site de LURE
37 avenue Carnot</v>
      </c>
      <c r="G34" s="228" t="str">
        <f>VLOOKUP(Tableau10[[#This Row],[Colonne1]],Tableau124[#All],6,FALSE)</f>
        <v>Sevrage simple</v>
      </c>
      <c r="H34" s="228" t="str">
        <f>VLOOKUP(Tableau10[[#This Row],[Colonne1]],Tableau124[#All],7,FALSE)</f>
        <v>Groupe Hospitalier de la Haute-Saône (GH70)</v>
      </c>
      <c r="I34" s="228" t="str">
        <f>VLOOKUP(Tableau10[[#This Row],[Colonne1]],Tableau124[#All],8,FALSE)</f>
        <v>Public</v>
      </c>
      <c r="J34" s="335" t="str">
        <f>VLOOKUP(Tableau10[[#This Row],[Colonne1]],Tableau124[#All],9,FALSE)</f>
        <v>contact@gh70.fr</v>
      </c>
      <c r="K34" s="406" t="str">
        <f>VLOOKUP(Tableau10[[#This Row],[Colonne1]],Tableau124[#All],10,FALSE)</f>
        <v>03 84 62 43 92</v>
      </c>
      <c r="L34" s="335" t="str">
        <f>VLOOKUP(Tableau10[[#This Row],[Colonne1]],Tableau124[#All],11,FALSE)</f>
        <v>https://www.gh70.fr</v>
      </c>
      <c r="M34" s="257" t="str">
        <f>VLOOKUP(Tableau10[[#This Row],[Colonne1]],Tableau124[#All],12,FALSE)</f>
        <v xml:space="preserve">  </v>
      </c>
      <c r="N34" s="397" t="str">
        <f>VLOOKUP(Tableau10[[#This Row],[Colonne1]],Tableau124[#All],13,FALSE)</f>
        <v xml:space="preserve">- interventions auprès d'un public majeur ; 
- lits installés au sein d'une même unité ; 
- unité d'addictologie
</v>
      </c>
    </row>
    <row r="35" spans="1:14" s="70" customFormat="1" ht="86.45" customHeight="1">
      <c r="A35" s="49"/>
      <c r="B35" s="187">
        <v>112</v>
      </c>
      <c r="C35" s="125" t="str">
        <f>VLOOKUP(Tableau10[[#This Row],[Colonne1]],Tableau124[#All],2,FALSE)</f>
        <v>Haute-Saône (70)</v>
      </c>
      <c r="D35" s="125" t="str">
        <f>VLOOKUP(Tableau10[[#This Row],[Colonne1]],Tableau124[#All],3,FALSE)</f>
        <v>Vesoul</v>
      </c>
      <c r="E35" s="125" t="str">
        <f>VLOOKUP(Tableau10[[#This Row],[Colonne1]],Tableau124[#All],4,FALSE)</f>
        <v>70000</v>
      </c>
      <c r="F35" s="125" t="str">
        <f>VLOOKUP(Tableau10[[#This Row],[Colonne1]],Tableau124[#All],5,FALSE)</f>
        <v>GH70 site de LURE
37 avenue Carnot</v>
      </c>
      <c r="G35" s="124" t="str">
        <f>VLOOKUP(Tableau10[[#This Row],[Colonne1]],Tableau124[#All],6,FALSE)</f>
        <v>Soins complexes</v>
      </c>
      <c r="H35" s="125" t="str">
        <f>VLOOKUP(Tableau10[[#This Row],[Colonne1]],Tableau124[#All],7,FALSE)</f>
        <v>Groupe Hospitalier de la Haute-Saône (GH70)</v>
      </c>
      <c r="I35" s="125" t="str">
        <f>VLOOKUP(Tableau10[[#This Row],[Colonne1]],Tableau124[#All],8,FALSE)</f>
        <v>Public</v>
      </c>
      <c r="J35" s="345" t="str">
        <f>VLOOKUP(Tableau10[[#This Row],[Colonne1]],Tableau124[#All],9,FALSE)</f>
        <v>contact@gh70.fr</v>
      </c>
      <c r="K35" s="375" t="str">
        <f>VLOOKUP(Tableau10[[#This Row],[Colonne1]],Tableau124[#All],10,FALSE)</f>
        <v>03 84 62 43 92</v>
      </c>
      <c r="L35" s="345" t="str">
        <f>VLOOKUP(Tableau10[[#This Row],[Colonne1]],Tableau124[#All],11,FALSE)</f>
        <v>https://www.gh70.fr</v>
      </c>
      <c r="M35" s="258" t="str">
        <f>VLOOKUP(Tableau10[[#This Row],[Colonne1]],Tableau124[#All],12,FALSE)</f>
        <v xml:space="preserve">   </v>
      </c>
      <c r="N35" s="279" t="str">
        <f>VLOOKUP(Tableau10[[#This Row],[Colonne1]],Tableau124[#All],13,FALSE)</f>
        <v xml:space="preserve">- intervention auprès de public majeur ; 
- accueille également des patients pour des sevrages simples </v>
      </c>
    </row>
    <row r="36" spans="1:14" ht="86.45" customHeight="1">
      <c r="B36" s="201">
        <v>113</v>
      </c>
      <c r="C36" s="214" t="str">
        <f>VLOOKUP(Tableau10[[#This Row],[Colonne1]],Tableau124[#All],2,FALSE)</f>
        <v>Haute-Saône (70)</v>
      </c>
      <c r="D36" s="214" t="str">
        <f>VLOOKUP(Tableau10[[#This Row],[Colonne1]],Tableau124[#All],3,FALSE)</f>
        <v>Vesoul</v>
      </c>
      <c r="E36" s="214" t="str">
        <f>VLOOKUP(Tableau10[[#This Row],[Colonne1]],Tableau124[#All],4,FALSE)</f>
        <v>70000</v>
      </c>
      <c r="F36" s="214" t="str">
        <f>VLOOKUP(Tableau10[[#This Row],[Colonne1]],Tableau124[#All],5,FALSE)</f>
        <v>Groupe Hospitalier de la Haute-Saône site de LURE
37 avenue Carnot</v>
      </c>
      <c r="G36" s="215" t="str">
        <f>VLOOKUP(Tableau10[[#This Row],[Colonne1]],Tableau124[#All],6,FALSE)</f>
        <v>Unité d'hospitalisation de jour</v>
      </c>
      <c r="H36" s="214" t="str">
        <f>VLOOKUP(Tableau10[[#This Row],[Colonne1]],Tableau124[#All],7,FALSE)</f>
        <v>Groupe Hospitalier de la Haute-Saône (GH70)</v>
      </c>
      <c r="I36" s="214" t="str">
        <f>VLOOKUP(Tableau10[[#This Row],[Colonne1]],Tableau124[#All],8,FALSE)</f>
        <v>Public</v>
      </c>
      <c r="J36" s="355" t="str">
        <f>VLOOKUP(Tableau10[[#This Row],[Colonne1]],Tableau124[#All],9,FALSE)</f>
        <v>contact@gh70.fr</v>
      </c>
      <c r="K36" s="376" t="str">
        <f>VLOOKUP(Tableau10[[#This Row],[Colonne1]],Tableau124[#All],10,FALSE)</f>
        <v>03 84 62 43 76</v>
      </c>
      <c r="L36" s="355" t="str">
        <f>VLOOKUP(Tableau10[[#This Row],[Colonne1]],Tableau124[#All],11,FALSE)</f>
        <v>https://www.gh70.fr</v>
      </c>
      <c r="M36" s="214" t="str">
        <f>VLOOKUP(Tableau10[[#This Row],[Colonne1]],Tableau124[#All],12,FALSE)</f>
        <v>- 8h30 à 17h00 du lundi au vendredi</v>
      </c>
      <c r="N36" s="357" t="str">
        <f>VLOOKUP(Tableau10[[#This Row],[Colonne1]],Tableau124[#All],13,FALSE)</f>
        <v>- intervention auprès d'un public majeur</v>
      </c>
    </row>
    <row r="37" spans="1:14" s="70" customFormat="1" ht="86.45" customHeight="1">
      <c r="A37" s="49"/>
      <c r="B37" s="201">
        <v>258</v>
      </c>
      <c r="C37" s="687" t="str">
        <f>VLOOKUP(Tableau10[[#This Row],[Colonne1]],Tableau124[#All],2,FALSE)</f>
        <v>Saône-et-Loire (71)</v>
      </c>
      <c r="D37" s="687" t="str">
        <f>VLOOKUP(Tableau10[[#This Row],[Colonne1]],Tableau124[#All],3,FALSE)</f>
        <v>Montceau-Les-Mines</v>
      </c>
      <c r="E37" s="687" t="str">
        <f>VLOOKUP(Tableau10[[#This Row],[Colonne1]],Tableau124[#All],4,FALSE)</f>
        <v>71300</v>
      </c>
      <c r="F37" s="687" t="str">
        <f>VLOOKUP(Tableau10[[#This Row],[Colonne1]],Tableau124[#All],5,FALSE)</f>
        <v>CH Jean Bouveri, Galuzot BP 189,  Dans plusieurs services</v>
      </c>
      <c r="G37" s="687" t="str">
        <f>VLOOKUP(Tableau10[[#This Row],[Colonne1]],Tableau124[#All],6,FALSE)</f>
        <v>SMRA</v>
      </c>
      <c r="H37" s="687" t="str">
        <f>VLOOKUP(Tableau10[[#This Row],[Colonne1]],Tableau124[#All],7,FALSE)</f>
        <v>Niveau 2 CH Jean Bouveri</v>
      </c>
      <c r="I37" s="687" t="str">
        <f>VLOOKUP(Tableau10[[#This Row],[Colonne1]],Tableau124[#All],8,FALSE)</f>
        <v>Public</v>
      </c>
      <c r="J37" s="688" t="str">
        <f>VLOOKUP(Tableau10[[#This Row],[Colonne1]],Tableau124[#All],9,FALSE)</f>
        <v>Remplir le formulaire de contact : http://www.ch-montceau71.fr/vous-accueillir/nous-contacter/</v>
      </c>
      <c r="K37" s="689" t="str">
        <f>VLOOKUP(Tableau10[[#This Row],[Colonne1]],Tableau124[#All],10,FALSE)</f>
        <v>03 85 67 61 73</v>
      </c>
      <c r="L37" s="688">
        <f>VLOOKUP(Tableau10[[#This Row],[Colonne1]],Tableau124[#All],11,FALSE)</f>
        <v>0</v>
      </c>
      <c r="M37" s="687">
        <f>VLOOKUP(Tableau10[[#This Row],[Colonne1]],Tableau124[#All],12,FALSE)</f>
        <v>0</v>
      </c>
      <c r="N37" s="687" t="str">
        <f>VLOOKUP(Tableau10[[#This Row],[Colonne1]],Tableau124[#All],13,FALSE)</f>
        <v>- interventions auprès d'un public majeur ; 
- lits installés au sein d'une même unité ; 
- unité de médecine polyvalente ;
- accueille également des patients pour des sevrages simples ;
- interventions dans tous les services de l'hôpital ;</v>
      </c>
    </row>
    <row r="38" spans="1:14" ht="86.45" customHeight="1"/>
    <row r="39" spans="1:14" ht="86.45" customHeight="1"/>
    <row r="40" spans="1:14" ht="86.45" customHeight="1"/>
    <row r="41" spans="1:14" ht="86.45" customHeight="1"/>
    <row r="42" spans="1:14" ht="86.45" customHeight="1"/>
    <row r="43" spans="1:14" ht="86.45" customHeight="1"/>
    <row r="44" spans="1:14" ht="86.45" customHeight="1"/>
    <row r="45" spans="1:14" ht="86.45" customHeight="1"/>
    <row r="46" spans="1:14" ht="86.45" customHeight="1"/>
  </sheetData>
  <mergeCells count="1">
    <mergeCell ref="C3:O3"/>
  </mergeCells>
  <phoneticPr fontId="8" type="noConversion"/>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9BE1"/>
  </sheetPr>
  <dimension ref="A1:P42"/>
  <sheetViews>
    <sheetView zoomScale="40" zoomScaleNormal="40" workbookViewId="0">
      <selection activeCell="A25" sqref="A25:XFD25"/>
    </sheetView>
  </sheetViews>
  <sheetFormatPr baseColWidth="10" defaultColWidth="10.5703125" defaultRowHeight="15"/>
  <cols>
    <col min="1" max="1" width="16.5703125" style="48" customWidth="1"/>
    <col min="2" max="2" width="13.42578125" style="1" customWidth="1"/>
    <col min="3" max="3" width="29.5703125" style="1" customWidth="1"/>
    <col min="4" max="4" width="48.85546875" style="1" customWidth="1"/>
    <col min="5" max="5" width="24.140625" style="1" customWidth="1"/>
    <col min="6" max="6" width="21.42578125" style="1" customWidth="1"/>
    <col min="7" max="7" width="29.42578125" style="1" customWidth="1"/>
    <col min="8" max="8" width="25.42578125" style="1" customWidth="1"/>
    <col min="9" max="9" width="33.140625" style="1" customWidth="1"/>
    <col min="10" max="10" width="20.42578125" style="1" customWidth="1"/>
    <col min="11" max="11" width="27.28515625" style="1" customWidth="1"/>
    <col min="12" max="12" width="23.42578125" style="1" customWidth="1"/>
    <col min="13" max="13" width="22.85546875" style="1" customWidth="1"/>
    <col min="14" max="14" width="37.42578125" style="1" customWidth="1"/>
    <col min="15" max="15" width="29.140625" style="1" hidden="1" customWidth="1"/>
    <col min="16" max="16384" width="10.5703125" style="1"/>
  </cols>
  <sheetData>
    <row r="1" spans="1:15" ht="57.6" customHeight="1">
      <c r="B1" s="48"/>
      <c r="C1" s="48"/>
      <c r="D1" s="48"/>
      <c r="E1" s="48"/>
      <c r="F1" s="48"/>
      <c r="G1" s="48"/>
      <c r="H1" s="48"/>
      <c r="I1" s="48"/>
      <c r="J1" s="48"/>
      <c r="K1" s="48"/>
      <c r="L1" s="48"/>
      <c r="M1" s="48"/>
      <c r="N1" s="48"/>
    </row>
    <row r="3" spans="1:15" ht="18.75">
      <c r="C3" s="709" t="s">
        <v>770</v>
      </c>
      <c r="D3" s="709"/>
      <c r="E3" s="709"/>
      <c r="F3" s="709"/>
      <c r="G3" s="709"/>
      <c r="H3" s="709"/>
      <c r="I3" s="709"/>
      <c r="J3" s="709"/>
      <c r="K3" s="709"/>
      <c r="L3" s="709"/>
      <c r="M3" s="709"/>
      <c r="N3" s="709"/>
      <c r="O3" s="709"/>
    </row>
    <row r="5" spans="1:15">
      <c r="A5" s="49"/>
      <c r="B5" s="1" t="s">
        <v>1078</v>
      </c>
      <c r="C5" s="60" t="s">
        <v>17</v>
      </c>
      <c r="D5" s="60" t="s">
        <v>18</v>
      </c>
      <c r="E5" s="60" t="s">
        <v>19</v>
      </c>
      <c r="F5" s="60" t="s">
        <v>20</v>
      </c>
      <c r="G5" s="60" t="s">
        <v>21</v>
      </c>
      <c r="H5" s="60" t="s">
        <v>22</v>
      </c>
      <c r="I5" s="60" t="s">
        <v>23</v>
      </c>
      <c r="J5" s="60" t="s">
        <v>24</v>
      </c>
      <c r="K5" s="60" t="s">
        <v>25</v>
      </c>
      <c r="L5" s="60" t="s">
        <v>26</v>
      </c>
      <c r="M5" s="60" t="s">
        <v>27</v>
      </c>
      <c r="N5" s="171" t="s">
        <v>28</v>
      </c>
    </row>
    <row r="6" spans="1:15" ht="86.45" customHeight="1">
      <c r="B6" s="164">
        <v>177</v>
      </c>
      <c r="C6" s="156" t="str">
        <f>VLOOKUP(Tableau15[[#This Row],[Colonne1]],Tableau124[#All],2,FALSE)</f>
        <v>Saône-et-Loire (71)</v>
      </c>
      <c r="D6" s="156" t="str">
        <f>VLOOKUP(Tableau15[[#This Row],[Colonne1]],Tableau124[#All],3,FALSE)</f>
        <v>Mâcon</v>
      </c>
      <c r="E6" s="156" t="str">
        <f>VLOOKUP(Tableau15[[#This Row],[Colonne1]],Tableau124[#All],4,FALSE)</f>
        <v>71000</v>
      </c>
      <c r="F6" s="156" t="str">
        <f>VLOOKUP(Tableau15[[#This Row],[Colonne1]],Tableau124[#All],5,FALSE)</f>
        <v>71 rue Jean Macé</v>
      </c>
      <c r="G6" s="156" t="str">
        <f>VLOOKUP(Tableau15[[#This Row],[Colonne1]],Tableau124[#All],6,FALSE)</f>
        <v>CSAPA</v>
      </c>
      <c r="H6" s="156" t="str">
        <f>VLOOKUP(Tableau15[[#This Row],[Colonne1]],Tableau124[#All],7,FALSE)</f>
        <v>Addictions France 71</v>
      </c>
      <c r="I6" s="156" t="str">
        <f>VLOOKUP(Tableau15[[#This Row],[Colonne1]],Tableau124[#All],8,FALSE)</f>
        <v>Associatif</v>
      </c>
      <c r="J6" s="318" t="str">
        <f>VLOOKUP(Tableau15[[#This Row],[Colonne1]],Tableau124[#All],9,FALSE)</f>
        <v>csapa.macon@addictions-France.org</v>
      </c>
      <c r="K6" s="238" t="str">
        <f>VLOOKUP(Tableau15[[#This Row],[Colonne1]],Tableau124[#All],10,FALSE)</f>
        <v>03.85.39.20.56</v>
      </c>
      <c r="L6" s="317" t="str">
        <f>VLOOKUP(Tableau15[[#This Row],[Colonne1]],Tableau124[#All],11,FALSE)</f>
        <v>www.addictions-france.org</v>
      </c>
      <c r="M6" s="101" t="str">
        <f>VLOOKUP(Tableau15[[#This Row],[Colonne1]],Tableau124[#All],12,FALSE)</f>
        <v>lundide 9 h à 12 h30 et de 13 h 00 à 18 h 30
Mardide 9 h à 12 h 30 et de 13h00 à 18h00
Mercredi de 9 h à 12 h 30 et de 13 h 30 à 16 h 30
Jeudi de 9 h à 12 h 30 et de 13 h 30 à 18 h 00
Vendredi de 9 h à 12 h 30 et de 13 h 30 à 17 h 00</v>
      </c>
      <c r="N6" s="614" t="str">
        <f>VLOOKUP(Tableau15[[#This Row],[Colonne1]],Tableau124[#All],13,FALSE)</f>
        <v>- mise à disposition de matériel de consommation à moindre risque ;
- proposition de test rapide d'orientation diagnostic (TROD) ; 
- dispositifs anti-overdose à disposition ; 
- présence d'une CJC.</v>
      </c>
    </row>
    <row r="7" spans="1:15" ht="86.45" customHeight="1">
      <c r="B7" s="164">
        <v>185</v>
      </c>
      <c r="C7" s="156" t="str">
        <f>VLOOKUP(Tableau15[[#This Row],[Colonne1]],Tableau124[#All],2,FALSE)</f>
        <v>Saône-et-Loire (71)</v>
      </c>
      <c r="D7" s="156" t="str">
        <f>VLOOKUP(Tableau15[[#This Row],[Colonne1]],Tableau124[#All],3,FALSE)</f>
        <v>Montceau-Les-Mines</v>
      </c>
      <c r="E7" s="156">
        <f>VLOOKUP(Tableau15[[#This Row],[Colonne1]],Tableau124[#All],4,FALSE)</f>
        <v>71300</v>
      </c>
      <c r="F7" s="156" t="str">
        <f>VLOOKUP(Tableau15[[#This Row],[Colonne1]],Tableau124[#All],5,FALSE)</f>
        <v>Centre de Périnatalité de Proximité de Montceau-les-Mines , CH Jean Bouveri, Galuzot BP 189,  Dans plusieurs services</v>
      </c>
      <c r="G7" s="156" t="str">
        <f>VLOOKUP(Tableau15[[#This Row],[Colonne1]],Tableau124[#All],6,FALSE)</f>
        <v>CSAPA (consultations avancées)</v>
      </c>
      <c r="H7" s="156" t="str">
        <f>VLOOKUP(Tableau15[[#This Row],[Colonne1]],Tableau124[#All],7,FALSE)</f>
        <v xml:space="preserve">CSAPA - Association Addictions France - consultations avancées - Centre de Périnatalité de Proximité de Montceau-les-Mines </v>
      </c>
      <c r="I7" s="156" t="str">
        <f>VLOOKUP(Tableau15[[#This Row],[Colonne1]],Tableau124[#All],8,FALSE)</f>
        <v>Associatif</v>
      </c>
      <c r="J7" s="317" t="str">
        <f>VLOOKUP(Tableau15[[#This Row],[Colonne1]],Tableau124[#All],9,FALSE)</f>
        <v>secgynéco@ch-montceau-71.fr</v>
      </c>
      <c r="K7" s="244" t="str">
        <f>VLOOKUP(Tableau15[[#This Row],[Colonne1]],Tableau124[#All],10,FALSE)</f>
        <v>03 85 67 60 04</v>
      </c>
      <c r="L7" s="317" t="str">
        <f>VLOOKUP(Tableau15[[#This Row],[Colonne1]],Tableau124[#All],11,FALSE)</f>
        <v>www.addictions-france.org</v>
      </c>
      <c r="M7" s="105" t="str">
        <f>VLOOKUP(Tableau15[[#This Row],[Colonne1]],Tableau124[#All],12,FALSE)</f>
        <v>du lundi au jeudi de 9h à 17h et le vendredi matin de 9h à 12h.</v>
      </c>
      <c r="N7" s="292" t="str">
        <f>VLOOKUP(Tableau15[[#This Row],[Colonne1]],Tableau124[#All],13,FALSE)</f>
        <v>Réalisation de consultations avancées</v>
      </c>
    </row>
    <row r="8" spans="1:15" ht="86.45" customHeight="1">
      <c r="B8" s="164">
        <v>160</v>
      </c>
      <c r="C8" s="156" t="str">
        <f>VLOOKUP(Tableau15[[#This Row],[Colonne1]],Tableau124[#All],2,FALSE)</f>
        <v>Saône-et-Loire (71)</v>
      </c>
      <c r="D8" s="156" t="str">
        <f>VLOOKUP(Tableau15[[#This Row],[Colonne1]],Tableau124[#All],3,FALSE)</f>
        <v>Autun</v>
      </c>
      <c r="E8" s="156">
        <f>VLOOKUP(Tableau15[[#This Row],[Colonne1]],Tableau124[#All],4,FALSE)</f>
        <v>71400</v>
      </c>
      <c r="F8" s="156" t="str">
        <f>VLOOKUP(Tableau15[[#This Row],[Colonne1]],Tableau124[#All],5,FALSE)</f>
        <v>15 rue deguin</v>
      </c>
      <c r="G8" s="156" t="str">
        <f>VLOOKUP(Tableau15[[#This Row],[Colonne1]],Tableau124[#All],6,FALSE)</f>
        <v>Antenne CSAPA</v>
      </c>
      <c r="H8" s="156" t="str">
        <f>VLOOKUP(Tableau15[[#This Row],[Colonne1]],Tableau124[#All],7,FALSE)</f>
        <v>Addictions France 71</v>
      </c>
      <c r="I8" s="156" t="str">
        <f>VLOOKUP(Tableau15[[#This Row],[Colonne1]],Tableau124[#All],8,FALSE)</f>
        <v>Associatif</v>
      </c>
      <c r="J8" s="317" t="str">
        <f>VLOOKUP(Tableau15[[#This Row],[Colonne1]],Tableau124[#All],9,FALSE)</f>
        <v>csapa.autun@addictions-france.org</v>
      </c>
      <c r="K8" s="251" t="str">
        <f>VLOOKUP(Tableau15[[#This Row],[Colonne1]],Tableau124[#All],10,FALSE)</f>
        <v>0385521490</v>
      </c>
      <c r="L8" s="325"/>
      <c r="M8" s="221" t="str">
        <f>VLOOKUP(Tableau15[[#This Row],[Colonne1]],Tableau124[#All],12,FALSE)</f>
        <v>Mardi 9h30 à 12h30 13h à 18h
Vendredi 9h30 à 12h30 et 13h à 16h</v>
      </c>
      <c r="N8" s="426"/>
    </row>
    <row r="9" spans="1:15" ht="86.45" customHeight="1">
      <c r="B9" s="164">
        <v>170</v>
      </c>
      <c r="C9" s="156" t="str">
        <f>VLOOKUP(Tableau15[[#This Row],[Colonne1]],Tableau124[#All],2,FALSE)</f>
        <v>Saône-et-Loire (71)</v>
      </c>
      <c r="D9" s="156" t="str">
        <f>VLOOKUP(Tableau15[[#This Row],[Colonne1]],Tableau124[#All],3,FALSE)</f>
        <v>Le Creusot</v>
      </c>
      <c r="E9" s="156">
        <f>VLOOKUP(Tableau15[[#This Row],[Colonne1]],Tableau124[#All],4,FALSE)</f>
        <v>71200</v>
      </c>
      <c r="F9" s="156" t="str">
        <f>VLOOKUP(Tableau15[[#This Row],[Colonne1]],Tableau124[#All],5,FALSE)</f>
        <v>12 rue Pierre et Marie Curie</v>
      </c>
      <c r="G9" s="156" t="str">
        <f>VLOOKUP(Tableau15[[#This Row],[Colonne1]],Tableau124[#All],6,FALSE)</f>
        <v>Antenne CSAPA</v>
      </c>
      <c r="H9" s="156" t="str">
        <f>VLOOKUP(Tableau15[[#This Row],[Colonne1]],Tableau124[#All],7,FALSE)</f>
        <v>Addictions France 71</v>
      </c>
      <c r="I9" s="156" t="str">
        <f>VLOOKUP(Tableau15[[#This Row],[Colonne1]],Tableau124[#All],8,FALSE)</f>
        <v>Associatif</v>
      </c>
      <c r="J9" s="317" t="str">
        <f>VLOOKUP(Tableau15[[#This Row],[Colonne1]],Tableau124[#All],9,FALSE)</f>
        <v>csapa.lecreusot@addictions-france.org</v>
      </c>
      <c r="K9" s="244" t="str">
        <f>VLOOKUP(Tableau15[[#This Row],[Colonne1]],Tableau124[#All],10,FALSE)</f>
        <v>0385551121</v>
      </c>
      <c r="L9" s="325" t="str">
        <f>VLOOKUP(Tableau15[[#This Row],[Colonne1]],Tableau124[#All],11,FALSE)</f>
        <v xml:space="preserve"> </v>
      </c>
      <c r="M9" s="105" t="str">
        <f>VLOOKUP(Tableau15[[#This Row],[Colonne1]],Tableau124[#All],12,FALSE)</f>
        <v>Le lundi et le jeudi de 8h30h à 12h30 et de 13h à 17h30 sur rendez-vous</v>
      </c>
      <c r="N9" s="426" t="str">
        <f>VLOOKUP(Tableau15[[#This Row],[Colonne1]],Tableau124[#All],13,FALSE)</f>
        <v xml:space="preserve">  </v>
      </c>
    </row>
    <row r="10" spans="1:15" ht="86.45" customHeight="1">
      <c r="B10" s="164">
        <v>183</v>
      </c>
      <c r="C10" s="156" t="str">
        <f>VLOOKUP(Tableau15[[#This Row],[Colonne1]],Tableau124[#All],2,FALSE)</f>
        <v>Saône-et-Loire (71)</v>
      </c>
      <c r="D10" s="156" t="str">
        <f>VLOOKUP(Tableau15[[#This Row],[Colonne1]],Tableau124[#All],3,FALSE)</f>
        <v>Montceau-Les-Mines</v>
      </c>
      <c r="E10" s="156">
        <f>VLOOKUP(Tableau15[[#This Row],[Colonne1]],Tableau124[#All],4,FALSE)</f>
        <v>71300</v>
      </c>
      <c r="F10" s="156" t="str">
        <f>VLOOKUP(Tableau15[[#This Row],[Colonne1]],Tableau124[#All],5,FALSE)</f>
        <v>23 rue de Chalon</v>
      </c>
      <c r="G10" s="156" t="str">
        <f>VLOOKUP(Tableau15[[#This Row],[Colonne1]],Tableau124[#All],6,FALSE)</f>
        <v>Antenne CSAPA</v>
      </c>
      <c r="H10" s="156" t="str">
        <f>VLOOKUP(Tableau15[[#This Row],[Colonne1]],Tableau124[#All],7,FALSE)</f>
        <v>Addictions France 71</v>
      </c>
      <c r="I10" s="156" t="str">
        <f>VLOOKUP(Tableau15[[#This Row],[Colonne1]],Tableau124[#All],8,FALSE)</f>
        <v>Associatif</v>
      </c>
      <c r="J10" s="317" t="str">
        <f>VLOOKUP(Tableau15[[#This Row],[Colonne1]],Tableau124[#All],9,FALSE)</f>
        <v>csapa.montceau@addictions-france.org</v>
      </c>
      <c r="K10" s="244" t="str">
        <f>VLOOKUP(Tableau15[[#This Row],[Colonne1]],Tableau124[#All],10,FALSE)</f>
        <v>0385578533</v>
      </c>
      <c r="L10" s="325" t="str">
        <f>VLOOKUP(Tableau15[[#This Row],[Colonne1]],Tableau124[#All],11,FALSE)</f>
        <v xml:space="preserve">  </v>
      </c>
      <c r="M10" s="105" t="str">
        <f>VLOOKUP(Tableau15[[#This Row],[Colonne1]],Tableau124[#All],12,FALSE)</f>
        <v>Du lundi au vendredi de 09:00 - 12:00 et de 14:00 - 17:00</v>
      </c>
      <c r="N10" s="396" t="str">
        <f>VLOOKUP(Tableau15[[#This Row],[Colonne1]],Tableau124[#All],13,FALSE)</f>
        <v xml:space="preserve">   </v>
      </c>
    </row>
    <row r="11" spans="1:15" ht="86.45" customHeight="1">
      <c r="B11" s="164">
        <v>191</v>
      </c>
      <c r="C11" s="221" t="str">
        <f>VLOOKUP(Tableau15[[#This Row],[Colonne1]],Tableau124[#All],2,FALSE)</f>
        <v>Saône-et-Loire (71)</v>
      </c>
      <c r="D11" s="156" t="str">
        <f>VLOOKUP(Tableau15[[#This Row],[Colonne1]],Tableau124[#All],3,FALSE)</f>
        <v>Paray Le Monial</v>
      </c>
      <c r="E11" s="156">
        <f>VLOOKUP(Tableau15[[#This Row],[Colonne1]],Tableau124[#All],4,FALSE)</f>
        <v>71600</v>
      </c>
      <c r="F11" s="156" t="str">
        <f>VLOOKUP(Tableau15[[#This Row],[Colonne1]],Tableau124[#All],5,FALSE)</f>
        <v>15 A Quai de l'Industrie Quai Sud</v>
      </c>
      <c r="G11" s="156" t="str">
        <f>VLOOKUP(Tableau15[[#This Row],[Colonne1]],Tableau124[#All],6,FALSE)</f>
        <v>Antenne CSAPA</v>
      </c>
      <c r="H11" s="156" t="str">
        <f>VLOOKUP(Tableau15[[#This Row],[Colonne1]],Tableau124[#All],7,FALSE)</f>
        <v>Addictions France 71</v>
      </c>
      <c r="I11" s="156" t="str">
        <f>VLOOKUP(Tableau15[[#This Row],[Colonne1]],Tableau124[#All],8,FALSE)</f>
        <v>Associatif</v>
      </c>
      <c r="J11" s="317" t="str">
        <f>VLOOKUP(Tableau15[[#This Row],[Colonne1]],Tableau124[#All],9,FALSE)</f>
        <v>csapa.paraylemonial@addictions-France.org</v>
      </c>
      <c r="K11" s="244" t="str">
        <f>VLOOKUP(Tableau15[[#This Row],[Colonne1]],Tableau124[#All],10,FALSE)</f>
        <v>0385810906</v>
      </c>
      <c r="L11" s="325" t="str">
        <f>VLOOKUP(Tableau15[[#This Row],[Colonne1]],Tableau124[#All],11,FALSE)</f>
        <v xml:space="preserve"> </v>
      </c>
      <c r="M11" s="105" t="str">
        <f>VLOOKUP(Tableau15[[#This Row],[Colonne1]],Tableau124[#All],12,FALSE)</f>
        <v>Lundi et mardi 9h 12h30 et 13h 18h
Mercredi : 9h à 12h
Jeudi 9h 12h30 et 13h 18h
Vendredi 9h12h30 et 13h 16h</v>
      </c>
      <c r="N11" s="396" t="str">
        <f>VLOOKUP(Tableau15[[#This Row],[Colonne1]],Tableau124[#All],13,FALSE)</f>
        <v xml:space="preserve">  </v>
      </c>
    </row>
    <row r="12" spans="1:15" ht="86.45" customHeight="1">
      <c r="B12" s="164">
        <v>175</v>
      </c>
      <c r="C12" s="234" t="str">
        <f>VLOOKUP(Tableau15[[#This Row],[Colonne1]],Tableau124[#All],2,FALSE)</f>
        <v>Saône-et-Loire (71)</v>
      </c>
      <c r="D12" s="212" t="str">
        <f>VLOOKUP(Tableau15[[#This Row],[Colonne1]],Tableau124[#All],3,FALSE)</f>
        <v>Mâcon</v>
      </c>
      <c r="E12" s="212" t="str">
        <f>VLOOKUP(Tableau15[[#This Row],[Colonne1]],Tableau124[#All],4,FALSE)</f>
        <v>71000</v>
      </c>
      <c r="F12" s="212" t="str">
        <f>VLOOKUP(Tableau15[[#This Row],[Colonne1]],Tableau124[#All],5,FALSE)</f>
        <v>71 rue Jean Macé</v>
      </c>
      <c r="G12" s="212" t="str">
        <f>VLOOKUP(Tableau15[[#This Row],[Colonne1]],Tableau124[#All],6,FALSE)</f>
        <v>CJC</v>
      </c>
      <c r="H12" s="212" t="str">
        <f>VLOOKUP(Tableau15[[#This Row],[Colonne1]],Tableau124[#All],7,FALSE)</f>
        <v>Addictions France 71</v>
      </c>
      <c r="I12" s="212" t="str">
        <f>VLOOKUP(Tableau15[[#This Row],[Colonne1]],Tableau124[#All],8,FALSE)</f>
        <v>Associatif</v>
      </c>
      <c r="J12" s="369" t="str">
        <f>VLOOKUP(Tableau15[[#This Row],[Colonne1]],Tableau124[#All],9,FALSE)</f>
        <v>csapa.macon@addictions-France.org</v>
      </c>
      <c r="K12" s="247" t="str">
        <f>VLOOKUP(Tableau15[[#This Row],[Colonne1]],Tableau124[#All],10,FALSE)</f>
        <v>03.85.39.20.56</v>
      </c>
      <c r="L12" s="369" t="str">
        <f>VLOOKUP(Tableau15[[#This Row],[Colonne1]],Tableau124[#All],11,FALSE)</f>
        <v>www.addictions-france.org</v>
      </c>
      <c r="M12" s="264" t="str">
        <f>VLOOKUP(Tableau15[[#This Row],[Colonne1]],Tableau124[#All],12,FALSE)</f>
        <v>Du Lundi au Vendredi 9h 17h</v>
      </c>
      <c r="N12" s="390" t="str">
        <f>VLOOKUP(Tableau15[[#This Row],[Colonne1]],Tableau124[#All],13,FALSE)</f>
        <v xml:space="preserve">- Accueil des familles ; 
- Orientation avec et sans rendez-vous ;
- CJC accessible à la famille et l'entourage ; 
- locaux identiques à ceux du CSAPA. </v>
      </c>
    </row>
    <row r="13" spans="1:15" ht="86.45" customHeight="1">
      <c r="B13" s="164">
        <v>16</v>
      </c>
      <c r="C13" s="400" t="str">
        <f>VLOOKUP(Tableau15[[#This Row],[Colonne1]],Tableau124[#All],2,FALSE)</f>
        <v>Côte-d’Or (21)</v>
      </c>
      <c r="D13" s="400" t="str">
        <f>VLOOKUP(Tableau15[[#This Row],[Colonne1]],Tableau124[#All],3,FALSE)</f>
        <v>Dijon</v>
      </c>
      <c r="E13" s="400" t="str">
        <f>VLOOKUP(Tableau15[[#This Row],[Colonne1]],Tableau124[#All],4,FALSE)</f>
        <v>21000</v>
      </c>
      <c r="F13" s="400" t="str">
        <f>VLOOKUP(Tableau15[[#This Row],[Colonne1]],Tableau124[#All],5,FALSE)</f>
        <v>9 Rue Févret</v>
      </c>
      <c r="G13" s="400" t="str">
        <f>VLOOKUP(Tableau15[[#This Row],[Colonne1]],Tableau124[#All],6,FALSE)</f>
        <v>CAARUD de réduction des risques et des dommages à distance</v>
      </c>
      <c r="H13" s="400" t="str">
        <f>VLOOKUP(Tableau15[[#This Row],[Colonne1]],Tableau124[#All],7,FALSE)</f>
        <v>Caarud le SPOT - SEDAP</v>
      </c>
      <c r="I13" s="400" t="str">
        <f>VLOOKUP(Tableau15[[#This Row],[Colonne1]],Tableau124[#All],8,FALSE)</f>
        <v>Associatif</v>
      </c>
      <c r="J13" s="448" t="str">
        <f>VLOOKUP(Tableau15[[#This Row],[Colonne1]],Tableau124[#All],9,FALSE)</f>
        <v>caarud@addictions-sedap.fr</v>
      </c>
      <c r="K13" s="427" t="str">
        <f>VLOOKUP(Tableau15[[#This Row],[Colonne1]],Tableau124[#All],10,FALSE)</f>
        <v>0688223918</v>
      </c>
      <c r="L13" s="610" t="str">
        <f>VLOOKUP(Tableau15[[#This Row],[Colonne1]],Tableau124[#All],11,FALSE)</f>
        <v>www.addictions-sedap.fr</v>
      </c>
      <c r="M13" s="402" t="str">
        <f>VLOOKUP(Tableau15[[#This Row],[Colonne1]],Tableau124[#All],12,FALSE)</f>
        <v>&gt; CAARUD : Lundi : de 10h30 à 14h ( accueil réservé aux femmes ) et de 14h à 17h00 ) ( Accueil mixte ) 
Mercredi : 10h30 à 17h
&gt; Intervention au CSAPA Belem : à la maison d'arrêt de DIJON deux mardis par mois de 14h à 16h
&gt; Permanence devant le CHRS Sadi Carnot deux mardis par mois de 16h30 à 18h30 avec le camping-car
&gt; Permanence au CHRS Machureau deux vendredis par mois de 14h à 16h</v>
      </c>
      <c r="N13" s="449" t="str">
        <f>VLOOKUP(Tableau15[[#This Row],[Colonne1]],Tableau124[#All],13,FALSE)</f>
        <v xml:space="preserve">- unité mobile pouvant servir de lieu d'accueil (déplacement en Côte-d-Or) ; 
- programme d'échange de seringues ;
- intervention en maraude ; 
- intervention en milieu festif ;
- intervention en milieu pénitentier à la Maison d'arrêt de Dijon. </v>
      </c>
    </row>
    <row r="14" spans="1:15" ht="86.45" customHeight="1">
      <c r="B14" s="164">
        <v>169</v>
      </c>
      <c r="C14" s="210" t="str">
        <f>VLOOKUP(Tableau15[[#This Row],[Colonne1]],Tableau124[#All],2,FALSE)</f>
        <v>Saône-et-Loire (71)</v>
      </c>
      <c r="D14" s="126" t="str">
        <f>VLOOKUP(Tableau15[[#This Row],[Colonne1]],Tableau124[#All],3,FALSE)</f>
        <v>Châlon-sur-Saône</v>
      </c>
      <c r="E14" s="126" t="str">
        <f>VLOOKUP(Tableau15[[#This Row],[Colonne1]],Tableau124[#All],4,FALSE)</f>
        <v>71100</v>
      </c>
      <c r="F14" s="128" t="str">
        <f>VLOOKUP(Tableau15[[#This Row],[Colonne1]],Tableau124[#All],5,FALSE)</f>
        <v>Centre Hospitalier Chalon sur Saône William Morey 
4, rue Capitaine Drillien, Dans un seul service</v>
      </c>
      <c r="G14" s="128" t="str">
        <f>VLOOKUP(Tableau15[[#This Row],[Colonne1]],Tableau124[#All],6,FALSE)</f>
        <v>ELSA</v>
      </c>
      <c r="H14" s="210" t="str">
        <f>VLOOKUP(Tableau15[[#This Row],[Colonne1]],Tableau124[#All],7,FALSE)</f>
        <v>Centre Hospitalier Chalon-sur-Saône</v>
      </c>
      <c r="I14" s="210" t="str">
        <f>VLOOKUP(Tableau15[[#This Row],[Colonne1]],Tableau124[#All],8,FALSE)</f>
        <v>Public</v>
      </c>
      <c r="J14" s="327" t="str">
        <f>VLOOKUP(Tableau15[[#This Row],[Colonne1]],Tableau124[#All],9,FALSE)</f>
        <v>Secretariat.urgences@ch-chalon71.fr</v>
      </c>
      <c r="K14" s="371" t="str">
        <f>VLOOKUP(Tableau15[[#This Row],[Colonne1]],Tableau124[#All],10,FALSE)</f>
        <v>Tél. 03.85.91.00.85</v>
      </c>
      <c r="L14" s="324" t="str">
        <f>VLOOKUP(Tableau15[[#This Row],[Colonne1]],Tableau124[#All],11,FALSE)</f>
        <v xml:space="preserve"> </v>
      </c>
      <c r="M14" s="257" t="str">
        <f>VLOOKUP(Tableau15[[#This Row],[Colonne1]],Tableau124[#All],12,FALSE)</f>
        <v xml:space="preserve"> </v>
      </c>
      <c r="N14" s="387" t="str">
        <f>VLOOKUP(Tableau15[[#This Row],[Colonne1]],Tableau124[#All],13,FALSE)</f>
        <v>- intervention auprès de public majeur ; 
- intervention auprès des SAU et UHCD</v>
      </c>
    </row>
    <row r="15" spans="1:15" ht="86.45" customHeight="1">
      <c r="B15" s="164">
        <v>167</v>
      </c>
      <c r="C15" s="213" t="str">
        <f>VLOOKUP(Tableau15[[#This Row],[Colonne1]],Tableau124[#All],2,FALSE)</f>
        <v>Saône-et-Loire (71)</v>
      </c>
      <c r="D15" s="213" t="str">
        <f>VLOOKUP(Tableau15[[#This Row],[Colonne1]],Tableau124[#All],3,FALSE)</f>
        <v>Châlon-sur-Saône</v>
      </c>
      <c r="E15" s="213" t="str">
        <f>VLOOKUP(Tableau15[[#This Row],[Colonne1]],Tableau124[#All],4,FALSE)</f>
        <v>71100</v>
      </c>
      <c r="F15" s="213" t="str">
        <f>VLOOKUP(Tableau15[[#This Row],[Colonne1]],Tableau124[#All],5,FALSE)</f>
        <v>ADDICTOLOGIE
Centre Hospitalier Chalon sur Saône William Morey 
4, rue Capitaine Drillien - CS80120</v>
      </c>
      <c r="G15" s="213" t="str">
        <f>VLOOKUP(Tableau15[[#This Row],[Colonne1]],Tableau124[#All],6,FALSE)</f>
        <v>Consultations Hospitalières externes d'addictologie</v>
      </c>
      <c r="H15" s="213" t="str">
        <f>VLOOKUP(Tableau15[[#This Row],[Colonne1]],Tableau124[#All],7,FALSE)</f>
        <v>Centre Hospitalier Chalon-sur-Saône</v>
      </c>
      <c r="I15" s="213" t="str">
        <f>VLOOKUP(Tableau15[[#This Row],[Colonne1]],Tableau124[#All],8,FALSE)</f>
        <v>Public</v>
      </c>
      <c r="J15" s="312" t="str">
        <f>VLOOKUP(Tableau15[[#This Row],[Colonne1]],Tableau124[#All],9,FALSE)</f>
        <v>Secretariat.urgences@ch-chalon71.fr</v>
      </c>
      <c r="K15" s="242" t="str">
        <f>VLOOKUP(Tableau15[[#This Row],[Colonne1]],Tableau124[#All],10,FALSE)</f>
        <v>03.85.91.00.85</v>
      </c>
      <c r="L15" s="324" t="str">
        <f>VLOOKUP(Tableau15[[#This Row],[Colonne1]],Tableau124[#All],11,FALSE)</f>
        <v xml:space="preserve"> </v>
      </c>
      <c r="M15" s="246" t="str">
        <f>VLOOKUP(Tableau15[[#This Row],[Colonne1]],Tableau124[#All],12,FALSE)</f>
        <v>9 h -12h et 14h 17h
Du lundi au vendredi</v>
      </c>
      <c r="N15" s="386" t="str">
        <f>VLOOKUP(Tableau15[[#This Row],[Colonne1]],Tableau124[#All],13,FALSE)</f>
        <v>Intervention auprès de public majeurs et mineurs</v>
      </c>
    </row>
    <row r="16" spans="1:15" ht="86.45" customHeight="1">
      <c r="B16" s="164">
        <v>186</v>
      </c>
      <c r="C16" s="210" t="str">
        <f>VLOOKUP(Tableau15[[#This Row],[Colonne1]],Tableau124[#All],2,FALSE)</f>
        <v>Saône-et-Loire (71)</v>
      </c>
      <c r="D16" s="210" t="str">
        <f>VLOOKUP(Tableau15[[#This Row],[Colonne1]],Tableau124[#All],3,FALSE)</f>
        <v>Montceau-Les-Mines</v>
      </c>
      <c r="E16" s="210" t="str">
        <f>VLOOKUP(Tableau15[[#This Row],[Colonne1]],Tableau124[#All],4,FALSE)</f>
        <v>71300</v>
      </c>
      <c r="F16" s="210" t="str">
        <f>VLOOKUP(Tableau15[[#This Row],[Colonne1]],Tableau124[#All],5,FALSE)</f>
        <v>CH Jean Bouveri, Galuzot BP 189,  Dans plusieurs services</v>
      </c>
      <c r="G16" s="128" t="str">
        <f>VLOOKUP(Tableau15[[#This Row],[Colonne1]],Tableau124[#All],6,FALSE)</f>
        <v>ELSA</v>
      </c>
      <c r="H16" s="211" t="str">
        <f>VLOOKUP(Tableau15[[#This Row],[Colonne1]],Tableau124[#All],7,FALSE)</f>
        <v>Centre Hospitalier de Montceau les Mines</v>
      </c>
      <c r="I16" s="210" t="str">
        <f>VLOOKUP(Tableau15[[#This Row],[Colonne1]],Tableau124[#All],8,FALSE)</f>
        <v>Public</v>
      </c>
      <c r="J16" s="327" t="str">
        <f>VLOOKUP(Tableau15[[#This Row],[Colonne1]],Tableau124[#All],9,FALSE)</f>
        <v>Remplir le formulaire de contact : http://www.ch-montceau71.fr/vous-accueillir/nous-contacter/@ch-montceau71.fr</v>
      </c>
      <c r="K16" s="371" t="str">
        <f>VLOOKUP(Tableau15[[#This Row],[Colonne1]],Tableau124[#All],10,FALSE)</f>
        <v>03 85 67 61 73</v>
      </c>
      <c r="L16" s="325" t="str">
        <f>VLOOKUP(Tableau15[[#This Row],[Colonne1]],Tableau124[#All],11,FALSE)</f>
        <v xml:space="preserve"> </v>
      </c>
      <c r="M16" s="257" t="str">
        <f>VLOOKUP(Tableau15[[#This Row],[Colonne1]],Tableau124[#All],12,FALSE)</f>
        <v xml:space="preserve"> </v>
      </c>
      <c r="N16" s="387" t="str">
        <f>VLOOKUP(Tableau15[[#This Row],[Colonne1]],Tableau124[#All],13,FALSE)</f>
        <v>- intervention auprès de public majeur ; 
- interventions dans tous les services</v>
      </c>
    </row>
    <row r="17" spans="1:14" ht="86.45" customHeight="1">
      <c r="B17" s="164">
        <v>184</v>
      </c>
      <c r="C17" s="213" t="str">
        <f>VLOOKUP(Tableau15[[#This Row],[Colonne1]],Tableau124[#All],2,FALSE)</f>
        <v>Saône-et-Loire (71)</v>
      </c>
      <c r="D17" s="111" t="str">
        <f>VLOOKUP(Tableau15[[#This Row],[Colonne1]],Tableau124[#All],3,FALSE)</f>
        <v>Montceau-Les-Mines</v>
      </c>
      <c r="E17" s="111" t="str">
        <f>VLOOKUP(Tableau15[[#This Row],[Colonne1]],Tableau124[#All],4,FALSE)</f>
        <v>71300</v>
      </c>
      <c r="F17" s="111" t="str">
        <f>VLOOKUP(Tableau15[[#This Row],[Colonne1]],Tableau124[#All],5,FALSE)</f>
        <v>CH Jean Bouveri, Galuzot BP 189,  Dans plusieurs services</v>
      </c>
      <c r="G17" s="111" t="str">
        <f>VLOOKUP(Tableau15[[#This Row],[Colonne1]],Tableau124[#All],6,FALSE)</f>
        <v>Consultations Hospitalières externes d'addictologie</v>
      </c>
      <c r="H17" s="213" t="str">
        <f>VLOOKUP(Tableau15[[#This Row],[Colonne1]],Tableau124[#All],7,FALSE)</f>
        <v>Centre Hospitalier de Montceau les Mines</v>
      </c>
      <c r="I17" s="213" t="str">
        <f>VLOOKUP(Tableau15[[#This Row],[Colonne1]],Tableau124[#All],8,FALSE)</f>
        <v>Public</v>
      </c>
      <c r="J17" s="312" t="str">
        <f>VLOOKUP(Tableau15[[#This Row],[Colonne1]],Tableau124[#All],9,FALSE)</f>
        <v>contact@ch-montceau71.fr</v>
      </c>
      <c r="K17" s="242" t="str">
        <f>VLOOKUP(Tableau15[[#This Row],[Colonne1]],Tableau124[#All],10,FALSE)</f>
        <v>03 85 67 61 73</v>
      </c>
      <c r="L17" s="325" t="str">
        <f>VLOOKUP(Tableau15[[#This Row],[Colonne1]],Tableau124[#All],11,FALSE)</f>
        <v xml:space="preserve"> </v>
      </c>
      <c r="M17" s="246" t="str">
        <f>VLOOKUP(Tableau15[[#This Row],[Colonne1]],Tableau124[#All],12,FALSE)</f>
        <v>9 h / 17 h tous les jours (du lundi au vendredi)</v>
      </c>
      <c r="N17" s="424" t="str">
        <f>VLOOKUP(Tableau15[[#This Row],[Colonne1]],Tableau124[#All],13,FALSE)</f>
        <v>Intervention auprès de public majeurs et mineurs</v>
      </c>
    </row>
    <row r="18" spans="1:14" ht="86.45" customHeight="1">
      <c r="B18" s="164">
        <v>257</v>
      </c>
      <c r="C18" s="438" t="str">
        <f>VLOOKUP(Tableau15[[#This Row],[Colonne1]],Tableau124[#All],2,FALSE)</f>
        <v>Saône-et-Loire (71)</v>
      </c>
      <c r="D18" s="438" t="str">
        <f>VLOOKUP(Tableau15[[#This Row],[Colonne1]],Tableau124[#All],3,FALSE)</f>
        <v>Mâcon</v>
      </c>
      <c r="E18" s="438" t="str">
        <f>VLOOKUP(Tableau15[[#This Row],[Colonne1]],Tableau124[#All],4,FALSE)</f>
        <v>71000</v>
      </c>
      <c r="F18" s="438" t="str">
        <f>VLOOKUP(Tableau15[[#This Row],[Colonne1]],Tableau124[#All],5,FALSE)</f>
        <v>Hôpital les Chanaux, Bd Louis Escande</v>
      </c>
      <c r="G18" s="438" t="str">
        <f>VLOOKUP(Tableau15[[#This Row],[Colonne1]],Tableau124[#All],6,FALSE)</f>
        <v xml:space="preserve">ELSA </v>
      </c>
      <c r="H18" s="438" t="str">
        <f>VLOOKUP(Tableau15[[#This Row],[Colonne1]],Tableau124[#All],7,FALSE)</f>
        <v>Centre Hospitalier les Chanaux, F-71000 Mâcon</v>
      </c>
      <c r="I18" s="438" t="str">
        <f>VLOOKUP(Tableau15[[#This Row],[Colonne1]],Tableau124[#All],8,FALSE)</f>
        <v>Public</v>
      </c>
      <c r="J18" s="450" t="str">
        <f>VLOOKUP(Tableau15[[#This Row],[Colonne1]],Tableau124[#All],9,FALSE)</f>
        <v>pamenecier@ch-macon.fr (ELSA polyvalente)
tabacologie@ch-macon.fr (tabacologie)</v>
      </c>
      <c r="K18" s="255" t="str">
        <f>VLOOKUP(Tableau15[[#This Row],[Colonne1]],Tableau124[#All],10,FALSE)</f>
        <v>03 85 27 58 58 (ELSA polyvalente)
03 85 27 53 69 (ELSA tabacologie)</v>
      </c>
      <c r="L18" s="441" t="str">
        <f>VLOOKUP(Tableau15[[#This Row],[Colonne1]],Tableau124[#All],11,FALSE)</f>
        <v>ELSA polyvalente : https://www.ch-macon.fr/patients-usagers/services/addictologie/
Tabacologie : https://www.ch-macon.fr/patients-usagers/services/tabacologie/</v>
      </c>
      <c r="M18" s="443" t="str">
        <f>VLOOKUP(Tableau15[[#This Row],[Colonne1]],Tableau124[#All],12,FALSE)</f>
        <v xml:space="preserve">sur RV répartis dans la semaine du lundi au vendredi de 9h00 à 17h00 </v>
      </c>
      <c r="N18" s="451" t="str">
        <f>VLOOKUP(Tableau15[[#This Row],[Colonne1]],Tableau124[#All],13,FALSE)</f>
        <v xml:space="preserve">ELSA Addictologie polyvalente
Concerne mineurs ou majeurs  (pas d'exclusion
Tous : urgences (SAU, UHCD), MCO (médecine chirurgie et maternité), pédiatrie, psychiatrie;     et SSR, USLD, ehpad
Procédure de prescription de consultation dans DP : Crossway (téléphone réservé aux urgences relatives)
Procédure de rencontre des intoxications éthylique aigues au lendemain de l'ivresse : aux urgences (SAU, UHCD), MCO (médecine chirurgie et maternité), pédiatrie, psychiatrie;
ELSA tabacologie
Intervention auprès de tout public  </v>
      </c>
    </row>
    <row r="19" spans="1:14" ht="86.45" customHeight="1">
      <c r="B19" s="164">
        <v>256</v>
      </c>
      <c r="C19" s="436" t="str">
        <f>VLOOKUP(Tableau15[[#This Row],[Colonne1]],Tableau124[#All],2,FALSE)</f>
        <v>Saône-et-Loire (71)</v>
      </c>
      <c r="D19" s="436" t="str">
        <f>VLOOKUP(Tableau15[[#This Row],[Colonne1]],Tableau124[#All],3,FALSE)</f>
        <v>Mâcon</v>
      </c>
      <c r="E19" s="436" t="str">
        <f>VLOOKUP(Tableau15[[#This Row],[Colonne1]],Tableau124[#All],4,FALSE)</f>
        <v>71000</v>
      </c>
      <c r="F19" s="436" t="str">
        <f>VLOOKUP(Tableau15[[#This Row],[Colonne1]],Tableau124[#All],5,FALSE)</f>
        <v>Hôpital les Chanaux, Bd Louis Escande</v>
      </c>
      <c r="G19" s="436" t="str">
        <f>VLOOKUP(Tableau15[[#This Row],[Colonne1]],Tableau124[#All],6,FALSE)</f>
        <v>Consultations Hospitalières externes d'addictologie</v>
      </c>
      <c r="H19" s="436" t="str">
        <f>VLOOKUP(Tableau15[[#This Row],[Colonne1]],Tableau124[#All],7,FALSE)</f>
        <v>Centre Hospitalier les Chanaux, F-71000 Mâcon</v>
      </c>
      <c r="I19" s="436" t="str">
        <f>VLOOKUP(Tableau15[[#This Row],[Colonne1]],Tableau124[#All],8,FALSE)</f>
        <v>Public</v>
      </c>
      <c r="J19" s="439" t="str">
        <f>VLOOKUP(Tableau15[[#This Row],[Colonne1]],Tableau124[#All],9,FALSE)</f>
        <v>tabacologie@ch-macon.fr
pamenecier@ch-macon.fr</v>
      </c>
      <c r="K19" s="440" t="str">
        <f>VLOOKUP(Tableau15[[#This Row],[Colonne1]],Tableau124[#All],10,FALSE)</f>
        <v xml:space="preserve">03 85 27 58 58 pour RV infirmiers          03 85 27 53 03 pour RV médecin            03 85 27 57 68 pour RV psychologue
</v>
      </c>
      <c r="L19" s="442" t="str">
        <f>VLOOKUP(Tableau15[[#This Row],[Colonne1]],Tableau124[#All],11,FALSE)</f>
        <v>https://www.ch-macon.fr/patients-usagers/services/tabacologie/
https://www.ch-macon.fr/patients-usagers/services/addictologie/</v>
      </c>
      <c r="M19" s="444" t="str">
        <f>VLOOKUP(Tableau15[[#This Row],[Colonne1]],Tableau124[#All],12,FALSE)</f>
        <v>sur RV répartis dans la semaine entre infirmiers, médecin et psychologue  du lundi au vendredi de 9h00 à 17h00 
Pour la tabaco : sur RV répartis dans la semaine entre médecin et psychologues</v>
      </c>
      <c r="N19" s="445" t="str">
        <f>VLOOKUP(Tableau15[[#This Row],[Colonne1]],Tableau124[#All],13,FALSE)</f>
        <v xml:space="preserve">Consultations Hospitalières externes de tabacologie
Intervention auprès de tout public  </v>
      </c>
    </row>
    <row r="20" spans="1:14" ht="86.45" customHeight="1">
      <c r="B20" s="164">
        <v>180</v>
      </c>
      <c r="C20" s="125" t="str">
        <f>VLOOKUP(Tableau15[[#This Row],[Colonne1]],Tableau124[#All],2,FALSE)</f>
        <v>Saône-et-Loire (71)</v>
      </c>
      <c r="D20" s="125" t="str">
        <f>VLOOKUP(Tableau15[[#This Row],[Colonne1]],Tableau124[#All],3,FALSE)</f>
        <v>Mâcon</v>
      </c>
      <c r="E20" s="125" t="str">
        <f>VLOOKUP(Tableau15[[#This Row],[Colonne1]],Tableau124[#All],4,FALSE)</f>
        <v>71000</v>
      </c>
      <c r="F20" s="125" t="str">
        <f>VLOOKUP(Tableau15[[#This Row],[Colonne1]],Tableau124[#All],5,FALSE)</f>
        <v>Hôpital les Chanaux, Bd L Escandes</v>
      </c>
      <c r="G20" s="124" t="str">
        <f>VLOOKUP(Tableau15[[#This Row],[Colonne1]],Tableau124[#All],6,FALSE)</f>
        <v>Soins complexes</v>
      </c>
      <c r="H20" s="125" t="str">
        <f>VLOOKUP(Tableau15[[#This Row],[Colonne1]],Tableau124[#All],7,FALSE)</f>
        <v>Centre Hospitalier les Chanaux, F-71000 Mâcon</v>
      </c>
      <c r="I20" s="125" t="str">
        <f>VLOOKUP(Tableau15[[#This Row],[Colonne1]],Tableau124[#All],8,FALSE)</f>
        <v>Public</v>
      </c>
      <c r="J20" s="346" t="str">
        <f>VLOOKUP(Tableau15[[#This Row],[Colonne1]],Tableau124[#All],9,FALSE)</f>
        <v>pamenecier@ch-macon.fr</v>
      </c>
      <c r="K20" s="379" t="str">
        <f>VLOOKUP(Tableau15[[#This Row],[Colonne1]],Tableau124[#All],10,FALSE)</f>
        <v>03 85 27 53 69</v>
      </c>
      <c r="L20" s="345" t="str">
        <f>VLOOKUP(Tableau15[[#This Row],[Colonne1]],Tableau124[#All],11,FALSE)</f>
        <v>https://www.ch-macon.fr/patients-usagers/services/addictologie/</v>
      </c>
      <c r="M20" s="257" t="str">
        <f>VLOOKUP(Tableau15[[#This Row],[Colonne1]],Tableau124[#All],12,FALSE)</f>
        <v xml:space="preserve"> </v>
      </c>
      <c r="N20" s="622" t="str">
        <f>VLOOKUP(Tableau15[[#This Row],[Colonne1]],Tableau124[#All],13,FALSE)</f>
        <v xml:space="preserve">- intervention auprès de public majeur ; 
- accueille également des patients pour des sevrages simples </v>
      </c>
    </row>
    <row r="21" spans="1:14" ht="86.45" customHeight="1">
      <c r="B21" s="164">
        <v>181</v>
      </c>
      <c r="C21" s="214" t="str">
        <f>VLOOKUP(Tableau15[[#This Row],[Colonne1]],Tableau124[#All],2,FALSE)</f>
        <v>Saône-et-Loire (71)</v>
      </c>
      <c r="D21" s="214" t="str">
        <f>VLOOKUP(Tableau15[[#This Row],[Colonne1]],Tableau124[#All],3,FALSE)</f>
        <v>Mâcon</v>
      </c>
      <c r="E21" s="214" t="str">
        <f>VLOOKUP(Tableau15[[#This Row],[Colonne1]],Tableau124[#All],4,FALSE)</f>
        <v>71000</v>
      </c>
      <c r="F21" s="214" t="str">
        <f>VLOOKUP(Tableau15[[#This Row],[Colonne1]],Tableau124[#All],5,FALSE)</f>
        <v>88 rue Rambuteau</v>
      </c>
      <c r="G21" s="215" t="str">
        <f>VLOOKUP(Tableau15[[#This Row],[Colonne1]],Tableau124[#All],6,FALSE)</f>
        <v>Unité d'hospitalisation de jour</v>
      </c>
      <c r="H21" s="214" t="str">
        <f>VLOOKUP(Tableau15[[#This Row],[Colonne1]],Tableau124[#All],7,FALSE)</f>
        <v>Centre Hospitalier les Chanaux, F-71000 Mâcon</v>
      </c>
      <c r="I21" s="214" t="str">
        <f>VLOOKUP(Tableau15[[#This Row],[Colonne1]],Tableau124[#All],8,FALSE)</f>
        <v>Public</v>
      </c>
      <c r="J21" s="356" t="str">
        <f>VLOOKUP(Tableau15[[#This Row],[Colonne1]],Tableau124[#All],9,FALSE)</f>
        <v>pamenecier@ch-macon.fr</v>
      </c>
      <c r="K21" s="621" t="str">
        <f>VLOOKUP(Tableau15[[#This Row],[Colonne1]],Tableau124[#All],10,FALSE)</f>
        <v>03 85 27 53 69</v>
      </c>
      <c r="L21" s="356" t="str">
        <f>VLOOKUP(Tableau15[[#This Row],[Colonne1]],Tableau124[#All],11,FALSE)</f>
        <v>https://www.ch-macon.fr/patients-usagers/services/addictologie/</v>
      </c>
      <c r="M21" s="249" t="str">
        <f>VLOOKUP(Tableau15[[#This Row],[Colonne1]],Tableau124[#All],12,FALSE)</f>
        <v>Actuellement inactif par défaut de ressources humaines médicales et non médicales</v>
      </c>
      <c r="N21" s="624" t="str">
        <f>VLOOKUP(Tableau15[[#This Row],[Colonne1]],Tableau124[#All],13,FALSE)</f>
        <v>- intervention auprès d'un public majeur</v>
      </c>
    </row>
    <row r="22" spans="1:14" ht="86.45" customHeight="1">
      <c r="B22" s="164">
        <v>162</v>
      </c>
      <c r="C22" s="210" t="str">
        <f>VLOOKUP(Tableau15[[#This Row],[Colonne1]],Tableau124[#All],2,FALSE)</f>
        <v>Saône-et-Loire (71)</v>
      </c>
      <c r="D22" s="210" t="str">
        <f>VLOOKUP(Tableau15[[#This Row],[Colonne1]],Tableau124[#All],3,FALSE)</f>
        <v>Autun</v>
      </c>
      <c r="E22" s="210" t="str">
        <f>VLOOKUP(Tableau15[[#This Row],[Colonne1]],Tableau124[#All],4,FALSE)</f>
        <v>71400</v>
      </c>
      <c r="F22" s="210" t="str">
        <f>VLOOKUP(Tableau15[[#This Row],[Colonne1]],Tableau124[#All],5,FALSE)</f>
        <v>CH Autun, 7 Bis rue Parpas, Dans plusieurs services</v>
      </c>
      <c r="G22" s="211" t="str">
        <f>VLOOKUP(Tableau15[[#This Row],[Colonne1]],Tableau124[#All],6,FALSE)</f>
        <v>ELSA</v>
      </c>
      <c r="H22" s="210" t="str">
        <f>VLOOKUP(Tableau15[[#This Row],[Colonne1]],Tableau124[#All],7,FALSE)</f>
        <v>CH Autun</v>
      </c>
      <c r="I22" s="210" t="str">
        <f>VLOOKUP(Tableau15[[#This Row],[Colonne1]],Tableau124[#All],8,FALSE)</f>
        <v>Public</v>
      </c>
      <c r="J22" s="327" t="str">
        <f>VLOOKUP(Tableau15[[#This Row],[Colonne1]],Tableau124[#All],9,FALSE)</f>
        <v>http://ch-autun.fr/contact/@ch-autun.fr</v>
      </c>
      <c r="K22" s="371" t="str">
        <f>VLOOKUP(Tableau15[[#This Row],[Colonne1]],Tableau124[#All],10,FALSE)</f>
        <v>03 85 86 84 84</v>
      </c>
      <c r="L22" s="325" t="str">
        <f>VLOOKUP(Tableau15[[#This Row],[Colonne1]],Tableau124[#All],11,FALSE)</f>
        <v xml:space="preserve"> </v>
      </c>
      <c r="M22" s="257" t="str">
        <f>VLOOKUP(Tableau15[[#This Row],[Colonne1]],Tableau124[#All],12,FALSE)</f>
        <v xml:space="preserve"> </v>
      </c>
      <c r="N22" s="387" t="str">
        <f>VLOOKUP(Tableau15[[#This Row],[Colonne1]],Tableau124[#All],13,FALSE)</f>
        <v>- intervention auprès de public majeur ; 
-interventions dans tous les services</v>
      </c>
    </row>
    <row r="23" spans="1:14" ht="86.45" customHeight="1">
      <c r="B23" s="164">
        <v>161</v>
      </c>
      <c r="C23" s="111" t="str">
        <f>VLOOKUP(Tableau15[[#This Row],[Colonne1]],Tableau124[#All],2,FALSE)</f>
        <v>Saône-et-Loire (71)</v>
      </c>
      <c r="D23" s="111" t="str">
        <f>VLOOKUP(Tableau15[[#This Row],[Colonne1]],Tableau124[#All],3,FALSE)</f>
        <v>Autun</v>
      </c>
      <c r="E23" s="111" t="str">
        <f>VLOOKUP(Tableau15[[#This Row],[Colonne1]],Tableau124[#All],4,FALSE)</f>
        <v>71400</v>
      </c>
      <c r="F23" s="111" t="str">
        <f>VLOOKUP(Tableau15[[#This Row],[Colonne1]],Tableau124[#All],5,FALSE)</f>
        <v xml:space="preserve">7bis rue de parpas </v>
      </c>
      <c r="G23" s="111" t="str">
        <f>VLOOKUP(Tableau15[[#This Row],[Colonne1]],Tableau124[#All],6,FALSE)</f>
        <v>Consultations Hospitalières externes d'addictologie</v>
      </c>
      <c r="H23" s="111" t="str">
        <f>VLOOKUP(Tableau15[[#This Row],[Colonne1]],Tableau124[#All],7,FALSE)</f>
        <v>CH Autun</v>
      </c>
      <c r="I23" s="111" t="str">
        <f>VLOOKUP(Tableau15[[#This Row],[Colonne1]],Tableau124[#All],8,FALSE)</f>
        <v>Public</v>
      </c>
      <c r="J23" s="312" t="str">
        <f>VLOOKUP(Tableau15[[#This Row],[Colonne1]],Tableau124[#All],9,FALSE)</f>
        <v>http://ch-autun.fr/contact/@ch-autun.fr</v>
      </c>
      <c r="K23" s="242" t="str">
        <f>VLOOKUP(Tableau15[[#This Row],[Colonne1]],Tableau124[#All],10,FALSE)</f>
        <v>03 85 86 84 84</v>
      </c>
      <c r="L23" s="325" t="str">
        <f>VLOOKUP(Tableau15[[#This Row],[Colonne1]],Tableau124[#All],11,FALSE)</f>
        <v xml:space="preserve"> </v>
      </c>
      <c r="M23" s="246" t="str">
        <f>VLOOKUP(Tableau15[[#This Row],[Colonne1]],Tableau124[#All],12,FALSE)</f>
        <v>lundi matin, mercredi matin un jeudi sur deux</v>
      </c>
      <c r="N23" s="386" t="str">
        <f>VLOOKUP(Tableau15[[#This Row],[Colonne1]],Tableau124[#All],13,FALSE)</f>
        <v>Intervention auprès de public majeurs et mineurs</v>
      </c>
    </row>
    <row r="24" spans="1:14" ht="86.45" customHeight="1">
      <c r="B24" s="164">
        <v>163</v>
      </c>
      <c r="C24" s="96" t="str">
        <f>VLOOKUP(Tableau15[[#This Row],[Colonne1]],Tableau124[#All],2,FALSE)</f>
        <v>Saône-et-Loire (71)</v>
      </c>
      <c r="D24" s="96" t="str">
        <f>VLOOKUP(Tableau15[[#This Row],[Colonne1]],Tableau124[#All],3,FALSE)</f>
        <v>Autun</v>
      </c>
      <c r="E24" s="96" t="str">
        <f>VLOOKUP(Tableau15[[#This Row],[Colonne1]],Tableau124[#All],4,FALSE)</f>
        <v>71400</v>
      </c>
      <c r="F24" s="96" t="str">
        <f>VLOOKUP(Tableau15[[#This Row],[Colonne1]],Tableau124[#All],5,FALSE)</f>
        <v>7bis rue de parpas 
Hôpital les Chanaux, Bd L Escandes</v>
      </c>
      <c r="G24" s="96" t="str">
        <f>VLOOKUP(Tableau15[[#This Row],[Colonne1]],Tableau124[#All],6,FALSE)</f>
        <v>Sevrage simple</v>
      </c>
      <c r="H24" s="96" t="str">
        <f>VLOOKUP(Tableau15[[#This Row],[Colonne1]],Tableau124[#All],7,FALSE)</f>
        <v>CH Autun
Hôpital les Chanaux, Bd L Escandes (Macon)</v>
      </c>
      <c r="I24" s="96" t="str">
        <f>VLOOKUP(Tableau15[[#This Row],[Colonne1]],Tableau124[#All],8,FALSE)</f>
        <v>Public</v>
      </c>
      <c r="J24" s="335" t="str">
        <f>VLOOKUP(Tableau15[[#This Row],[Colonne1]],Tableau124[#All],9,FALSE)</f>
        <v>http://ch-autun.fr/contact/
Macon : pamenecier@ch-macon.fr</v>
      </c>
      <c r="K24" s="406" t="str">
        <f>VLOOKUP(Tableau15[[#This Row],[Colonne1]],Tableau124[#All],10,FALSE)</f>
        <v>03 85 86 84 84
Macon : 03 85 27 53 69</v>
      </c>
      <c r="L24" s="325" t="str">
        <f>VLOOKUP(Tableau15[[#This Row],[Colonne1]],Tableau124[#All],11,FALSE)</f>
        <v>https://www.ch-macon.fr/patients-usagers/services/addictologie/</v>
      </c>
      <c r="M24" s="257" t="str">
        <f>VLOOKUP(Tableau15[[#This Row],[Colonne1]],Tableau124[#All],12,FALSE)</f>
        <v xml:space="preserve"> </v>
      </c>
      <c r="N24" s="388" t="str">
        <f>VLOOKUP(Tableau15[[#This Row],[Colonne1]],Tableau124[#All],13,FALSE)</f>
        <v xml:space="preserve">- interventions auprès d'un public majeur ; 
- lits installés au sein d'une même unité ; 
- unité de médecine 2
Macon : 
'- interventions auprès d'un public majeur ; 
- lits installés au sein d'une même unité ; 
- une unité de médecine polyvalente.
</v>
      </c>
    </row>
    <row r="25" spans="1:14" ht="86.45" customHeight="1">
      <c r="B25" s="164">
        <v>187</v>
      </c>
      <c r="C25" s="96" t="str">
        <f>VLOOKUP(Tableau15[[#This Row],[Colonne1]],Tableau124[#All],2,FALSE)</f>
        <v>Saône-et-Loire (71)</v>
      </c>
      <c r="D25" s="96" t="str">
        <f>VLOOKUP(Tableau15[[#This Row],[Colonne1]],Tableau124[#All],3,FALSE)</f>
        <v>Montceau-Les-Mines</v>
      </c>
      <c r="E25" s="96" t="str">
        <f>VLOOKUP(Tableau15[[#This Row],[Colonne1]],Tableau124[#All],4,FALSE)</f>
        <v>71300</v>
      </c>
      <c r="F25" s="96" t="str">
        <f>VLOOKUP(Tableau15[[#This Row],[Colonne1]],Tableau124[#All],5,FALSE)</f>
        <v>CH Jean Bouveri, Galuzot BP 189,  Dans plusieurs services</v>
      </c>
      <c r="G25" s="96" t="str">
        <f>VLOOKUP(Tableau15[[#This Row],[Colonne1]],Tableau124[#All],6,FALSE)</f>
        <v>Sevrage simple</v>
      </c>
      <c r="H25" s="96" t="str">
        <f>VLOOKUP(Tableau15[[#This Row],[Colonne1]],Tableau124[#All],7,FALSE)</f>
        <v>CH Jean Bouveri</v>
      </c>
      <c r="I25" s="96" t="str">
        <f>VLOOKUP(Tableau15[[#This Row],[Colonne1]],Tableau124[#All],8,FALSE)</f>
        <v>Public</v>
      </c>
      <c r="J25" s="335" t="str">
        <f>VLOOKUP(Tableau15[[#This Row],[Colonne1]],Tableau124[#All],9,FALSE)</f>
        <v>contact@ch-montceau71.fr</v>
      </c>
      <c r="K25" s="406" t="str">
        <f>VLOOKUP(Tableau15[[#This Row],[Colonne1]],Tableau124[#All],10,FALSE)</f>
        <v>03 85 67 61 73</v>
      </c>
      <c r="L25" s="324" t="str">
        <f>VLOOKUP(Tableau15[[#This Row],[Colonne1]],Tableau124[#All],11,FALSE)</f>
        <v xml:space="preserve"> </v>
      </c>
      <c r="M25" s="257" t="str">
        <f>VLOOKUP(Tableau15[[#This Row],[Colonne1]],Tableau124[#All],12,FALSE)</f>
        <v xml:space="preserve"> </v>
      </c>
      <c r="N25" s="288" t="str">
        <f>VLOOKUP(Tableau15[[#This Row],[Colonne1]],Tableau124[#All],13,FALSE)</f>
        <v>- interventions auprès d'un public majeur ; 
- lits installés au sein d'une même unité ; 
- une unité de médecine polyvalente.</v>
      </c>
    </row>
    <row r="26" spans="1:14" ht="86.45" customHeight="1">
      <c r="B26" s="164">
        <v>190</v>
      </c>
      <c r="C26" s="125" t="str">
        <f>VLOOKUP(Tableau15[[#This Row],[Colonne1]],Tableau124[#All],2,FALSE)</f>
        <v>Saône-et-Loire (71)</v>
      </c>
      <c r="D26" s="125" t="str">
        <f>VLOOKUP(Tableau15[[#This Row],[Colonne1]],Tableau124[#All],3,FALSE)</f>
        <v>Montceau-Les-Mines</v>
      </c>
      <c r="E26" s="125" t="str">
        <f>VLOOKUP(Tableau15[[#This Row],[Colonne1]],Tableau124[#All],4,FALSE)</f>
        <v>71300</v>
      </c>
      <c r="F26" s="124" t="str">
        <f>VLOOKUP(Tableau15[[#This Row],[Colonne1]],Tableau124[#All],5,FALSE)</f>
        <v>CH Jean Bouveri, Galuzot BP 189,  Dans plusieurs services</v>
      </c>
      <c r="G26" s="124" t="str">
        <f>VLOOKUP(Tableau15[[#This Row],[Colonne1]],Tableau124[#All],6,FALSE)</f>
        <v>Soins complexes</v>
      </c>
      <c r="H26" s="125" t="str">
        <f>VLOOKUP(Tableau15[[#This Row],[Colonne1]],Tableau124[#All],7,FALSE)</f>
        <v>CH Jean Bouveri</v>
      </c>
      <c r="I26" s="125" t="str">
        <f>VLOOKUP(Tableau15[[#This Row],[Colonne1]],Tableau124[#All],8,FALSE)</f>
        <v>Public</v>
      </c>
      <c r="J26" s="619" t="str">
        <f>VLOOKUP(Tableau15[[#This Row],[Colonne1]],Tableau124[#All],9,FALSE)</f>
        <v>Remplir le formulaire de contact : http://www.ch-montceau71.fr/vous-accueillir/nous-contacter/</v>
      </c>
      <c r="K26" s="379" t="str">
        <f>VLOOKUP(Tableau15[[#This Row],[Colonne1]],Tableau124[#All],10,FALSE)</f>
        <v>03 86 67 63 71</v>
      </c>
      <c r="L26" s="325" t="str">
        <f>VLOOKUP(Tableau15[[#This Row],[Colonne1]],Tableau124[#All],11,FALSE)</f>
        <v xml:space="preserve"> </v>
      </c>
      <c r="M26" s="257" t="str">
        <f>VLOOKUP(Tableau15[[#This Row],[Colonne1]],Tableau124[#All],12,FALSE)</f>
        <v xml:space="preserve"> </v>
      </c>
      <c r="N26" s="622" t="str">
        <f>VLOOKUP(Tableau15[[#This Row],[Colonne1]],Tableau124[#All],13,FALSE)</f>
        <v xml:space="preserve">- intervention auprès de public majeur ; 
- accueille également des patients pour des sevrages simples </v>
      </c>
    </row>
    <row r="27" spans="1:14" ht="86.45" customHeight="1">
      <c r="B27" s="164">
        <v>192</v>
      </c>
      <c r="C27" s="126" t="str">
        <f>VLOOKUP(Tableau15[[#This Row],[Colonne1]],Tableau124[#All],2,FALSE)</f>
        <v>Saône-et-Loire (71)</v>
      </c>
      <c r="D27" s="126" t="str">
        <f>VLOOKUP(Tableau15[[#This Row],[Colonne1]],Tableau124[#All],3,FALSE)</f>
        <v>Sevrey</v>
      </c>
      <c r="E27" s="126">
        <f>VLOOKUP(Tableau15[[#This Row],[Colonne1]],Tableau124[#All],4,FALSE)</f>
        <v>71100</v>
      </c>
      <c r="F27" s="126" t="str">
        <f>VLOOKUP(Tableau15[[#This Row],[Colonne1]],Tableau124[#All],5,FALSE)</f>
        <v>CHS de SEVREY, 55 rue Auguste Champion, Dans plusieurs services</v>
      </c>
      <c r="G27" s="128" t="str">
        <f>VLOOKUP(Tableau15[[#This Row],[Colonne1]],Tableau124[#All],6,FALSE)</f>
        <v>ELSA</v>
      </c>
      <c r="H27" s="126" t="str">
        <f>VLOOKUP(Tableau15[[#This Row],[Colonne1]],Tableau124[#All],7,FALSE)</f>
        <v>CHS de SEVREY</v>
      </c>
      <c r="I27" s="126" t="str">
        <f>VLOOKUP(Tableau15[[#This Row],[Colonne1]],Tableau124[#All],8,FALSE)</f>
        <v>Public</v>
      </c>
      <c r="J27" s="327" t="str">
        <f>VLOOKUP(Tableau15[[#This Row],[Colonne1]],Tableau124[#All],9,FALSE)</f>
        <v xml:space="preserve">iri2.docs@ch-sevrey.fr </v>
      </c>
      <c r="K27" s="371" t="str">
        <f>VLOOKUP(Tableau15[[#This Row],[Colonne1]],Tableau124[#All],10,FALSE)</f>
        <v>03 85 92 82 04</v>
      </c>
      <c r="L27" s="327" t="str">
        <f>VLOOKUP(Tableau15[[#This Row],[Colonne1]],Tableau124[#All],11,FALSE)</f>
        <v>https://www.ch-sevrey.fr/</v>
      </c>
      <c r="M27" s="257" t="str">
        <f>VLOOKUP(Tableau15[[#This Row],[Colonne1]],Tableau124[#All],12,FALSE)</f>
        <v xml:space="preserve"> </v>
      </c>
      <c r="N27" s="387" t="str">
        <f>VLOOKUP(Tableau15[[#This Row],[Colonne1]],Tableau124[#All],13,FALSE)</f>
        <v>- intervention auprès de public majeur ; 
- intervention dans tout l'hôpital, sanitaire et médico-social</v>
      </c>
    </row>
    <row r="28" spans="1:14" ht="86.45" customHeight="1">
      <c r="B28" s="164">
        <v>193</v>
      </c>
      <c r="C28" s="125" t="str">
        <f>VLOOKUP(Tableau15[[#This Row],[Colonne1]],Tableau124[#All],2,FALSE)</f>
        <v>Saône-et-Loire (71)</v>
      </c>
      <c r="D28" s="125" t="str">
        <f>VLOOKUP(Tableau15[[#This Row],[Colonne1]],Tableau124[#All],3,FALSE)</f>
        <v>Sevrey</v>
      </c>
      <c r="E28" s="125" t="str">
        <f>VLOOKUP(Tableau15[[#This Row],[Colonne1]],Tableau124[#All],4,FALSE)</f>
        <v>71100</v>
      </c>
      <c r="F28" s="125" t="str">
        <f>VLOOKUP(Tableau15[[#This Row],[Colonne1]],Tableau124[#All],5,FALSE)</f>
        <v xml:space="preserve">Unité Médicale d'Hospitalisation en Addictologie,
CHS de Sevrey
55 Rue Auguste Champion </v>
      </c>
      <c r="G28" s="124" t="str">
        <f>VLOOKUP(Tableau15[[#This Row],[Colonne1]],Tableau124[#All],6,FALSE)</f>
        <v>Soins complexes</v>
      </c>
      <c r="H28" s="125" t="str">
        <f>VLOOKUP(Tableau15[[#This Row],[Colonne1]],Tableau124[#All],7,FALSE)</f>
        <v>CHS de Sevrey</v>
      </c>
      <c r="I28" s="125" t="str">
        <f>VLOOKUP(Tableau15[[#This Row],[Colonne1]],Tableau124[#All],8,FALSE)</f>
        <v>Public</v>
      </c>
      <c r="J28" s="346" t="str">
        <f>VLOOKUP(Tableau15[[#This Row],[Colonne1]],Tableau124[#All],9,FALSE)</f>
        <v>iris2.docs@ch-sevrey.fr</v>
      </c>
      <c r="K28" s="379" t="str">
        <f>VLOOKUP(Tableau15[[#This Row],[Colonne1]],Tableau124[#All],10,FALSE)</f>
        <v>03 85 92 82 04</v>
      </c>
      <c r="L28" s="346" t="str">
        <f>VLOOKUP(Tableau15[[#This Row],[Colonne1]],Tableau124[#All],11,FALSE)</f>
        <v>https://www.ch-sevrey.fr/</v>
      </c>
      <c r="M28" s="257" t="str">
        <f>VLOOKUP(Tableau15[[#This Row],[Colonne1]],Tableau124[#All],12,FALSE)</f>
        <v xml:space="preserve"> </v>
      </c>
      <c r="N28" s="622" t="str">
        <f>VLOOKUP(Tableau15[[#This Row],[Colonne1]],Tableau124[#All],13,FALSE)</f>
        <v xml:space="preserve">- intervention auprès de public majeur ; 
</v>
      </c>
    </row>
    <row r="29" spans="1:14" ht="270">
      <c r="B29" s="164">
        <v>168</v>
      </c>
      <c r="C29" s="221" t="str">
        <f>VLOOKUP(Tableau15[[#This Row],[Colonne1]],Tableau124[#All],2,FALSE)</f>
        <v>Saône-et-Loire (71)</v>
      </c>
      <c r="D29" s="221" t="str">
        <f>VLOOKUP(Tableau15[[#This Row],[Colonne1]],Tableau124[#All],3,FALSE)</f>
        <v>Châlon-sur-Saône</v>
      </c>
      <c r="E29" s="221" t="str">
        <f>VLOOKUP(Tableau15[[#This Row],[Colonne1]],Tableau124[#All],4,FALSE)</f>
        <v>71100</v>
      </c>
      <c r="F29" s="221" t="str">
        <f>VLOOKUP(Tableau15[[#This Row],[Colonne1]],Tableau124[#All],5,FALSE)</f>
        <v>1 Av. Georges Pompidou</v>
      </c>
      <c r="G29" s="221" t="str">
        <f>VLOOKUP(Tableau15[[#This Row],[Colonne1]],Tableau124[#All],6,FALSE)</f>
        <v>CSAPA</v>
      </c>
      <c r="H29" s="221" t="str">
        <f>VLOOKUP(Tableau15[[#This Row],[Colonne1]],Tableau124[#All],7,FALSE)</f>
        <v>CSAPA KAIRN71 - SAUVEGARDE71</v>
      </c>
      <c r="I29" s="221" t="str">
        <f>VLOOKUP(Tableau15[[#This Row],[Colonne1]],Tableau124[#All],8,FALSE)</f>
        <v>Associatif</v>
      </c>
      <c r="J29" s="317" t="str">
        <f>VLOOKUP(Tableau15[[#This Row],[Colonne1]],Tableau124[#All],9,FALSE)</f>
        <v>kairn71@sauvegarde71.fr</v>
      </c>
      <c r="K29" s="244" t="str">
        <f>VLOOKUP(Tableau15[[#This Row],[Colonne1]],Tableau124[#All],10,FALSE)</f>
        <v>0385909060</v>
      </c>
      <c r="L29" s="317" t="str">
        <f>VLOOKUP(Tableau15[[#This Row],[Colonne1]],Tableau124[#All],11,FALSE)</f>
        <v>www.sauvegarde71.fr</v>
      </c>
      <c r="M29" s="105" t="str">
        <f>VLOOKUP(Tableau15[[#This Row],[Colonne1]],Tableau124[#All],12,FALSE)</f>
        <v>lundi = 9h-12h30 / 14h-18h
mardi = 11h-12h30 / 15h30-18h
mercredi = 9h-12h / 14h-18h
jeudi = 9h-12h30 / 14h-18h
vendredi = 9h-12h30 / 14h-17h</v>
      </c>
      <c r="N29" s="623" t="str">
        <f>VLOOKUP(Tableau15[[#This Row],[Colonne1]],Tableau124[#All],13,FALSE)</f>
        <v>- Réalisation de consultations avancées sur Chagny, Chalon-sur-Saône, Louhans, Saint Marcel ;
- dispositifs de soins résidentiels sous forme d'appartement thérapeutiques sur Chalon-sur-Saône (15 rue Philibert GUIDE 71100 Chalon-sur-Saône) ;
- intervention en milieu festif ;
- intervention en milieu pénitentiaire au Centre pénitentiaire de Varennes le Grand ;
- mise à disposition de matériel de consommation à moindre risque ;
- proposition de test rapide d'orientation diagnostic (TROD) ; 
- dispositifs anti-overdose à disposition ; 
- présence d'une CJC.</v>
      </c>
    </row>
    <row r="30" spans="1:14" s="190" customFormat="1" ht="86.45" customHeight="1">
      <c r="A30" s="189"/>
      <c r="B30" s="187">
        <v>164</v>
      </c>
      <c r="C30" s="156" t="str">
        <f>VLOOKUP(Tableau15[[#This Row],[Colonne1]],Tableau124[#All],2,FALSE)</f>
        <v>Saône-et-Loire (71)</v>
      </c>
      <c r="D30" s="156" t="str">
        <f>VLOOKUP(Tableau15[[#This Row],[Colonne1]],Tableau124[#All],3,FALSE)</f>
        <v>Chagny</v>
      </c>
      <c r="E30" s="156">
        <f>VLOOKUP(Tableau15[[#This Row],[Colonne1]],Tableau124[#All],4,FALSE)</f>
        <v>71150</v>
      </c>
      <c r="F30" s="156" t="str">
        <f>VLOOKUP(Tableau15[[#This Row],[Colonne1]],Tableau124[#All],5,FALSE)</f>
        <v>Chagny santé 4 route de Beaune</v>
      </c>
      <c r="G30" s="156" t="str">
        <f>VLOOKUP(Tableau15[[#This Row],[Colonne1]],Tableau124[#All],6,FALSE)</f>
        <v>CSAPA (consultations avancées)</v>
      </c>
      <c r="H30" s="156" t="str">
        <f>VLOOKUP(Tableau15[[#This Row],[Colonne1]],Tableau124[#All],7,FALSE)</f>
        <v>CSAPA KAIRN71 - SAUVEGARDE71 - consultations avancées</v>
      </c>
      <c r="I30" s="156" t="str">
        <f>VLOOKUP(Tableau15[[#This Row],[Colonne1]],Tableau124[#All],8,FALSE)</f>
        <v>Associatif</v>
      </c>
      <c r="J30" s="318" t="str">
        <f>VLOOKUP(Tableau15[[#This Row],[Colonne1]],Tableau124[#All],9,FALSE)</f>
        <v>kairn71@sauvegarde71.fr</v>
      </c>
      <c r="K30" s="238" t="str">
        <f>VLOOKUP(Tableau15[[#This Row],[Colonne1]],Tableau124[#All],10,FALSE)</f>
        <v>0385909061</v>
      </c>
      <c r="L30" s="317" t="str">
        <f>VLOOKUP(Tableau15[[#This Row],[Colonne1]],Tableau124[#All],11,FALSE)</f>
        <v>www.sauvegarde71.fr</v>
      </c>
      <c r="M30" s="105" t="str">
        <f>VLOOKUP(Tableau15[[#This Row],[Colonne1]],Tableau124[#All],12,FALSE)</f>
        <v>1 mercredi par mois 9h-12h</v>
      </c>
      <c r="N30" s="101" t="str">
        <f>VLOOKUP(Tableau15[[#This Row],[Colonne1]],Tableau124[#All],13,FALSE)</f>
        <v>Réalisation de consultations avancées</v>
      </c>
    </row>
    <row r="31" spans="1:14" ht="86.45" customHeight="1">
      <c r="B31" s="164">
        <v>174</v>
      </c>
      <c r="C31" s="156" t="str">
        <f>VLOOKUP(Tableau15[[#This Row],[Colonne1]],Tableau124[#All],2,FALSE)</f>
        <v>Saône-et-Loire (71)</v>
      </c>
      <c r="D31" s="156" t="str">
        <f>VLOOKUP(Tableau15[[#This Row],[Colonne1]],Tableau124[#All],3,FALSE)</f>
        <v>Louhans</v>
      </c>
      <c r="E31" s="156" t="str">
        <f>VLOOKUP(Tableau15[[#This Row],[Colonne1]],Tableau124[#All],4,FALSE)</f>
        <v>71100</v>
      </c>
      <c r="F31" s="156" t="str">
        <f>VLOOKUP(Tableau15[[#This Row],[Colonne1]],Tableau124[#All],5,FALSE)</f>
        <v>1 rue du Gruay</v>
      </c>
      <c r="G31" s="156" t="str">
        <f>VLOOKUP(Tableau15[[#This Row],[Colonne1]],Tableau124[#All],6,FALSE)</f>
        <v>Antenne CSAPA</v>
      </c>
      <c r="H31" s="156" t="str">
        <f>VLOOKUP(Tableau15[[#This Row],[Colonne1]],Tableau124[#All],7,FALSE)</f>
        <v>CSAPA KAIRN71 - SAUVEGARDE71</v>
      </c>
      <c r="I31" s="156" t="str">
        <f>VLOOKUP(Tableau15[[#This Row],[Colonne1]],Tableau124[#All],8,FALSE)</f>
        <v>Associatif</v>
      </c>
      <c r="J31" s="317" t="str">
        <f>VLOOKUP(Tableau15[[#This Row],[Colonne1]],Tableau124[#All],9,FALSE)</f>
        <v>kairn71@sauvegarde71.fr</v>
      </c>
      <c r="K31" s="244" t="str">
        <f>VLOOKUP(Tableau15[[#This Row],[Colonne1]],Tableau124[#All],10,FALSE)</f>
        <v>0385909060</v>
      </c>
      <c r="L31" s="324" t="str">
        <f>VLOOKUP(Tableau15[[#This Row],[Colonne1]],Tableau124[#All],11,FALSE)</f>
        <v xml:space="preserve">  </v>
      </c>
      <c r="M31" s="105" t="str">
        <f>VLOOKUP(Tableau15[[#This Row],[Colonne1]],Tableau124[#All],12,FALSE)</f>
        <v>lundi = 10h-13h / mardi = 10h-13h 13h30-17h / mercredi = 10h-13h 13h30-17h / jeudi = 10h-12h30 13h30-18h / vendredi = 10h-12h</v>
      </c>
      <c r="N31" s="396" t="str">
        <f>VLOOKUP(Tableau15[[#This Row],[Colonne1]],Tableau124[#All],13,FALSE)</f>
        <v xml:space="preserve">  </v>
      </c>
    </row>
    <row r="32" spans="1:14" ht="84.95" customHeight="1">
      <c r="B32" s="164">
        <v>166</v>
      </c>
      <c r="C32" s="212" t="str">
        <f>VLOOKUP(Tableau15[[#This Row],[Colonne1]],Tableau124[#All],2,FALSE)</f>
        <v>Saône-et-Loire (71)</v>
      </c>
      <c r="D32" s="212" t="str">
        <f>VLOOKUP(Tableau15[[#This Row],[Colonne1]],Tableau124[#All],3,FALSE)</f>
        <v>Châlon-sur-Saône</v>
      </c>
      <c r="E32" s="212" t="str">
        <f>VLOOKUP(Tableau15[[#This Row],[Colonne1]],Tableau124[#All],4,FALSE)</f>
        <v>71100</v>
      </c>
      <c r="F32" s="212" t="str">
        <f>VLOOKUP(Tableau15[[#This Row],[Colonne1]],Tableau124[#All],5,FALSE)</f>
        <v>1 Av. Georges Pompidou</v>
      </c>
      <c r="G32" s="212" t="str">
        <f>VLOOKUP(Tableau15[[#This Row],[Colonne1]],Tableau124[#All],6,FALSE)</f>
        <v>CJC</v>
      </c>
      <c r="H32" s="212" t="str">
        <f>VLOOKUP(Tableau15[[#This Row],[Colonne1]],Tableau124[#All],7,FALSE)</f>
        <v>CSAPA KAIRN71 - SAUVEGARDE71</v>
      </c>
      <c r="I32" s="212" t="str">
        <f>VLOOKUP(Tableau15[[#This Row],[Colonne1]],Tableau124[#All],8,FALSE)</f>
        <v>Associatif</v>
      </c>
      <c r="J32" s="369" t="str">
        <f>VLOOKUP(Tableau15[[#This Row],[Colonne1]],Tableau124[#All],9,FALSE)</f>
        <v>kairn71@sauvegarde71.fr</v>
      </c>
      <c r="K32" s="247" t="str">
        <f>VLOOKUP(Tableau15[[#This Row],[Colonne1]],Tableau124[#All],10,FALSE)</f>
        <v>0385909060</v>
      </c>
      <c r="L32" s="369" t="str">
        <f>VLOOKUP(Tableau15[[#This Row],[Colonne1]],Tableau124[#All],11,FALSE)</f>
        <v>www.sauvegarde71.fr</v>
      </c>
      <c r="M32" s="264" t="str">
        <f>VLOOKUP(Tableau15[[#This Row],[Colonne1]],Tableau124[#All],12,FALSE)</f>
        <v>Mercredi de 14h à 19h</v>
      </c>
      <c r="N32" s="390" t="str">
        <f>VLOOKUP(Tableau15[[#This Row],[Colonne1]],Tableau124[#All],13,FALSE)</f>
        <v xml:space="preserve">- Accueil des familles ; 
- Orientation sur rendez-vous ;
- CJC accessible à la famille et l'entourage ; 
- locaux identiques à ceux du CSAPA. </v>
      </c>
    </row>
    <row r="33" spans="1:16" ht="86.45" customHeight="1">
      <c r="B33" s="164">
        <v>165</v>
      </c>
      <c r="C33" s="203" t="str">
        <f>VLOOKUP(Tableau15[[#This Row],[Colonne1]],Tableau124[#All],2,FALSE)</f>
        <v>Saône-et-Loire (71)</v>
      </c>
      <c r="D33" s="203" t="str">
        <f>VLOOKUP(Tableau15[[#This Row],[Colonne1]],Tableau124[#All],3,FALSE)</f>
        <v>Châlon-sur-Saône</v>
      </c>
      <c r="E33" s="203" t="str">
        <f>VLOOKUP(Tableau15[[#This Row],[Colonne1]],Tableau124[#All],4,FALSE)</f>
        <v>71100</v>
      </c>
      <c r="F33" s="203" t="str">
        <f>VLOOKUP(Tableau15[[#This Row],[Colonne1]],Tableau124[#All],5,FALSE)</f>
        <v>41 Av. Boucicaut</v>
      </c>
      <c r="G33" s="203" t="str">
        <f>VLOOKUP(Tableau15[[#This Row],[Colonne1]],Tableau124[#All],6,FALSE)</f>
        <v>CAARUD</v>
      </c>
      <c r="H33" s="203" t="str">
        <f>VLOOKUP(Tableau15[[#This Row],[Colonne1]],Tableau124[#All],7,FALSE)</f>
        <v>CAARUD 16 Kay - Sauvegarde 71</v>
      </c>
      <c r="I33" s="203" t="str">
        <f>VLOOKUP(Tableau15[[#This Row],[Colonne1]],Tableau124[#All],8,FALSE)</f>
        <v>Associatif</v>
      </c>
      <c r="J33" s="361" t="str">
        <f>VLOOKUP(Tableau15[[#This Row],[Colonne1]],Tableau124[#All],9,FALSE)</f>
        <v>caarud16kay@sauvegarde71.fr</v>
      </c>
      <c r="K33" s="250" t="str">
        <f>VLOOKUP(Tableau15[[#This Row],[Colonne1]],Tableau124[#All],10,FALSE)</f>
        <v>0954654665</v>
      </c>
      <c r="L33" s="361" t="str">
        <f>VLOOKUP(Tableau15[[#This Row],[Colonne1]],Tableau124[#All],11,FALSE)</f>
        <v>www.sauvegarde71.fr</v>
      </c>
      <c r="M33" s="263" t="str">
        <f>VLOOKUP(Tableau15[[#This Row],[Colonne1]],Tableau124[#All],12,FALSE)</f>
        <v>lundi = 13h30-17h30
jeudi = 14h-19h
vendredi 11h-15h30</v>
      </c>
      <c r="N33" s="566" t="str">
        <f>VLOOKUP(Tableau15[[#This Row],[Colonne1]],Tableau124[#All],13,FALSE)</f>
        <v xml:space="preserve">- unité mobile pouvant servir de lieu d'accueil (déplacement sur tout le département de Saône et Loire) ; 
- programme d'échange de seringues ;
- intervention en maraude ; 
- intervention en milieu festif. </v>
      </c>
    </row>
    <row r="34" spans="1:16" s="195" customFormat="1" ht="86.45" customHeight="1">
      <c r="A34" s="194"/>
      <c r="B34" s="187">
        <v>172</v>
      </c>
      <c r="C34" s="126" t="str">
        <f>VLOOKUP(Tableau15[[#This Row],[Colonne1]],Tableau124[#All],2,FALSE)</f>
        <v>Saône-et-Loire (71)</v>
      </c>
      <c r="D34" s="126" t="str">
        <f>VLOOKUP(Tableau15[[#This Row],[Colonne1]],Tableau124[#All],3,FALSE)</f>
        <v>Le Creusot</v>
      </c>
      <c r="E34" s="126" t="str">
        <f>VLOOKUP(Tableau15[[#This Row],[Colonne1]],Tableau124[#All],4,FALSE)</f>
        <v>71200</v>
      </c>
      <c r="F34" s="128" t="str">
        <f>VLOOKUP(Tableau15[[#This Row],[Colonne1]],Tableau124[#All],5,FALSE)</f>
        <v>GROUPE SOS - Hôtel-Dieu du Creusot -Site Harfleur
26 rue d'Harfleur</v>
      </c>
      <c r="G34" s="128" t="str">
        <f>VLOOKUP(Tableau15[[#This Row],[Colonne1]],Tableau124[#All],6,FALSE)</f>
        <v>ELSA</v>
      </c>
      <c r="H34" s="126" t="str">
        <f>VLOOKUP(Tableau15[[#This Row],[Colonne1]],Tableau124[#All],7,FALSE)</f>
        <v>GROUPE SOS - Hôtel-Dieu du Creusot</v>
      </c>
      <c r="I34" s="126" t="str">
        <f>VLOOKUP(Tableau15[[#This Row],[Colonne1]],Tableau124[#All],8,FALSE)</f>
        <v>Associatif</v>
      </c>
      <c r="J34" s="328" t="str">
        <f>VLOOKUP(Tableau15[[#This Row],[Colonne1]],Tableau124[#All],9,FALSE)</f>
        <v>ghforest@hoteldieu-creusot.fr</v>
      </c>
      <c r="K34" s="373" t="str">
        <f>VLOOKUP(Tableau15[[#This Row],[Colonne1]],Tableau124[#All],10,FALSE)</f>
        <v>03.85.77.47.85 et 06.25.75.35.38</v>
      </c>
      <c r="L34" s="328" t="str">
        <f>VLOOKUP(Tableau15[[#This Row],[Colonne1]],Tableau124[#All],11,FALSE)</f>
        <v>www.hopital-lecreusot.com</v>
      </c>
      <c r="M34" s="237" t="str">
        <f>VLOOKUP(Tableau15[[#This Row],[Colonne1]],Tableau124[#All],12,FALSE)</f>
        <v>lundi de 9h à 12h, du mardi au jeudi de 9h à 17h</v>
      </c>
      <c r="N34" s="293" t="str">
        <f>VLOOKUP(Tableau15[[#This Row],[Colonne1]],Tableau124[#All],13,FALSE)</f>
        <v>- intervention auprès de public majeur ; 
- interventions dans toutes les unités de soins du site de rattachement et dans les structures avec lesquelles il existe un partenariat</v>
      </c>
    </row>
    <row r="35" spans="1:16" s="195" customFormat="1" ht="86.45" customHeight="1">
      <c r="A35" s="194"/>
      <c r="B35" s="187">
        <v>171</v>
      </c>
      <c r="C35" s="111" t="str">
        <f>VLOOKUP(Tableau15[[#This Row],[Colonne1]],Tableau124[#All],2,FALSE)</f>
        <v>Saône-et-Loire (71)</v>
      </c>
      <c r="D35" s="111" t="str">
        <f>VLOOKUP(Tableau15[[#This Row],[Colonne1]],Tableau124[#All],3,FALSE)</f>
        <v>Le Creusot</v>
      </c>
      <c r="E35" s="111" t="str">
        <f>VLOOKUP(Tableau15[[#This Row],[Colonne1]],Tableau124[#All],4,FALSE)</f>
        <v>71200</v>
      </c>
      <c r="F35" s="111" t="str">
        <f>VLOOKUP(Tableau15[[#This Row],[Colonne1]],Tableau124[#All],5,FALSE)</f>
        <v>GROUPE SOS - Hôtel-Dieu du Creusot -Site Harfleur
26 rue d'Harfleur</v>
      </c>
      <c r="G35" s="111" t="str">
        <f>VLOOKUP(Tableau15[[#This Row],[Colonne1]],Tableau124[#All],6,FALSE)</f>
        <v>Consultations Hospitalières externes d'addictologie</v>
      </c>
      <c r="H35" s="111" t="str">
        <f>VLOOKUP(Tableau15[[#This Row],[Colonne1]],Tableau124[#All],7,FALSE)</f>
        <v>GROUPE SOS - Hôtel-Dieu du Creusot</v>
      </c>
      <c r="I35" s="111" t="str">
        <f>VLOOKUP(Tableau15[[#This Row],[Colonne1]],Tableau124[#All],8,FALSE)</f>
        <v>Associatif</v>
      </c>
      <c r="J35" s="311" t="str">
        <f>VLOOKUP(Tableau15[[#This Row],[Colonne1]],Tableau124[#All],9,FALSE)</f>
        <v>ghforest@hoteldieu-creusot.fr</v>
      </c>
      <c r="K35" s="239" t="str">
        <f>VLOOKUP(Tableau15[[#This Row],[Colonne1]],Tableau124[#All],10,FALSE)</f>
        <v>03.85.77.74.85</v>
      </c>
      <c r="L35" s="311" t="str">
        <f>VLOOKUP(Tableau15[[#This Row],[Colonne1]],Tableau124[#All],11,FALSE)</f>
        <v>www.hopital-lecreusot.com</v>
      </c>
      <c r="M35" s="129" t="str">
        <f>VLOOKUP(Tableau15[[#This Row],[Colonne1]],Tableau124[#All],12,FALSE)</f>
        <v>lundi au vendredi (à voir avec l'équipe ELSA)</v>
      </c>
      <c r="N35" s="129" t="str">
        <f>VLOOKUP(Tableau15[[#This Row],[Colonne1]],Tableau124[#All],13,FALSE)</f>
        <v>Intervention auprès de public majeurs et mineurs</v>
      </c>
    </row>
    <row r="36" spans="1:16" s="195" customFormat="1" ht="86.45" customHeight="1">
      <c r="A36" s="194"/>
      <c r="B36" s="187">
        <v>242</v>
      </c>
      <c r="C36" s="438" t="str">
        <f>VLOOKUP(Tableau15[[#This Row],[Colonne1]],Tableau124[#All],2,FALSE)</f>
        <v>Saône-et-Loire (71)</v>
      </c>
      <c r="D36" s="438" t="str">
        <f>VLOOKUP(Tableau15[[#This Row],[Colonne1]],Tableau124[#All],3,FALSE)</f>
        <v>Montceau-Les-Mines</v>
      </c>
      <c r="E36" s="438" t="str">
        <f>VLOOKUP(Tableau15[[#This Row],[Colonne1]],Tableau124[#All],4,FALSE)</f>
        <v>71300</v>
      </c>
      <c r="F36" s="438" t="str">
        <f>VLOOKUP(Tableau15[[#This Row],[Colonne1]],Tableau124[#All],5,FALSE)</f>
        <v>CH Jean Bouveri, Galuzot BP 189,  Dans plusieurs services</v>
      </c>
      <c r="G36" s="438" t="str">
        <f>VLOOKUP(Tableau15[[#This Row],[Colonne1]],Tableau124[#All],6,FALSE)</f>
        <v>ELSA</v>
      </c>
      <c r="H36" s="438" t="str">
        <f>VLOOKUP(Tableau15[[#This Row],[Colonne1]],Tableau124[#All],7,FALSE)</f>
        <v>Niveau 2 CH Jean Bouveri</v>
      </c>
      <c r="I36" s="438" t="str">
        <f>VLOOKUP(Tableau15[[#This Row],[Colonne1]],Tableau124[#All],8,FALSE)</f>
        <v>Public</v>
      </c>
      <c r="J36" s="618" t="str">
        <f>VLOOKUP(Tableau15[[#This Row],[Colonne1]],Tableau124[#All],9,FALSE)</f>
        <v>Remplir le formulaire de contact : http://www.ch-montceau71.fr/vous-accueillir/nous-contacter/</v>
      </c>
      <c r="K36" s="620" t="str">
        <f>VLOOKUP(Tableau15[[#This Row],[Colonne1]],Tableau124[#All],10,FALSE)</f>
        <v>03 85 67 61 73</v>
      </c>
      <c r="L36" s="258"/>
      <c r="M36" s="258"/>
      <c r="N36" s="438" t="str">
        <f>VLOOKUP(Tableau15[[#This Row],[Colonne1]],Tableau124[#All],13,FALSE)</f>
        <v>- interventions auprès d'un public majeur ; 
- lits installés au sein d'une même unité ; 
- unité de médecine polyvalente ;
- accueille également des patients pour des sevrages simples ;
- interventions dans tous les services de l'hôpital ;</v>
      </c>
    </row>
    <row r="37" spans="1:16" ht="86.45" customHeight="1">
      <c r="B37" s="164">
        <v>241</v>
      </c>
      <c r="C37" s="421" t="str">
        <f>VLOOKUP(Tableau15[[#This Row],[Colonne1]],Tableau124[#All],2,FALSE)</f>
        <v>Saône-et-Loire (71)</v>
      </c>
      <c r="D37" s="421" t="str">
        <f>VLOOKUP(Tableau15[[#This Row],[Colonne1]],Tableau124[#All],3,FALSE)</f>
        <v>Montceau-Les-Mines</v>
      </c>
      <c r="E37" s="421" t="str">
        <f>VLOOKUP(Tableau15[[#This Row],[Colonne1]],Tableau124[#All],4,FALSE)</f>
        <v>71300</v>
      </c>
      <c r="F37" s="421" t="str">
        <f>VLOOKUP(Tableau15[[#This Row],[Colonne1]],Tableau124[#All],5,FALSE)</f>
        <v>CH Jean Bouveri, Galuzot BP 189,  Dans plusieurs services</v>
      </c>
      <c r="G37" s="421" t="str">
        <f>VLOOKUP(Tableau15[[#This Row],[Colonne1]],Tableau124[#All],6,FALSE)</f>
        <v>soins complexes</v>
      </c>
      <c r="H37" s="421" t="str">
        <f>VLOOKUP(Tableau15[[#This Row],[Colonne1]],Tableau124[#All],7,FALSE)</f>
        <v>Niveau 2 CH Jean Bouveri</v>
      </c>
      <c r="I37" s="421" t="str">
        <f>VLOOKUP(Tableau15[[#This Row],[Colonne1]],Tableau124[#All],8,FALSE)</f>
        <v>Public</v>
      </c>
      <c r="J37" s="452" t="str">
        <f>VLOOKUP(Tableau15[[#This Row],[Colonne1]],Tableau124[#All],9,FALSE)</f>
        <v>Remplir le formulaire de contact : http://www.ch-montceau71.fr/vous-accueillir/nous-contacter/</v>
      </c>
      <c r="K37" s="423" t="str">
        <f>VLOOKUP(Tableau15[[#This Row],[Colonne1]],Tableau124[#All],10,FALSE)</f>
        <v>03 85 67 61 73</v>
      </c>
      <c r="L37" s="324"/>
      <c r="M37" s="324"/>
      <c r="N37" s="421" t="str">
        <f>VLOOKUP(Tableau15[[#This Row],[Colonne1]],Tableau124[#All],13,FALSE)</f>
        <v>- interventions auprès d'un public majeur ; 
- lits installés au sein d'une même unité ; 
- unité de médecine polyvalente ;
- accueille également des patients pour des sevrages simples ;
- interventions dans tous les services de l'hôpital ;</v>
      </c>
      <c r="O37" s="190"/>
      <c r="P37" s="190"/>
    </row>
    <row r="38" spans="1:16" ht="86.45" customHeight="1"/>
    <row r="39" spans="1:16" ht="86.45" customHeight="1"/>
    <row r="40" spans="1:16" ht="86.45" customHeight="1"/>
    <row r="41" spans="1:16" ht="86.45" customHeight="1"/>
    <row r="42" spans="1:16" ht="86.45" customHeight="1"/>
  </sheetData>
  <mergeCells count="1">
    <mergeCell ref="C3:O3"/>
  </mergeCells>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9BE1"/>
  </sheetPr>
  <dimension ref="A1:O39"/>
  <sheetViews>
    <sheetView topLeftCell="A25" zoomScale="40" zoomScaleNormal="40" workbookViewId="0">
      <selection activeCell="A20" sqref="A20:XFD20"/>
    </sheetView>
  </sheetViews>
  <sheetFormatPr baseColWidth="10" defaultColWidth="10.5703125" defaultRowHeight="15"/>
  <cols>
    <col min="1" max="1" width="16.5703125" style="48" customWidth="1"/>
    <col min="2" max="2" width="15.28515625" style="1" customWidth="1"/>
    <col min="3" max="3" width="33.140625" style="1" customWidth="1"/>
    <col min="4" max="4" width="53.85546875" style="1" customWidth="1"/>
    <col min="5" max="5" width="24.140625" style="1" customWidth="1"/>
    <col min="6" max="6" width="30.5703125" style="1" customWidth="1"/>
    <col min="7" max="7" width="29.42578125" style="1" customWidth="1"/>
    <col min="8" max="8" width="28.7109375" style="1" customWidth="1"/>
    <col min="9" max="9" width="33.140625" style="1" customWidth="1"/>
    <col min="10" max="10" width="20.42578125" style="1" customWidth="1"/>
    <col min="11" max="11" width="29.85546875" style="1" customWidth="1"/>
    <col min="12" max="12" width="23.42578125" style="1" customWidth="1"/>
    <col min="13" max="13" width="35.140625" style="1" customWidth="1"/>
    <col min="14" max="14" width="54.42578125" style="1" customWidth="1"/>
    <col min="15" max="15" width="16.42578125" style="1" customWidth="1"/>
    <col min="16" max="16384" width="10.5703125" style="1"/>
  </cols>
  <sheetData>
    <row r="1" spans="1:15" ht="57.6" customHeight="1">
      <c r="B1" s="48"/>
      <c r="C1" s="48"/>
      <c r="D1" s="48"/>
      <c r="E1" s="48"/>
      <c r="F1" s="48"/>
      <c r="G1" s="48"/>
      <c r="H1" s="48"/>
      <c r="I1" s="48"/>
      <c r="J1" s="48"/>
      <c r="K1" s="48"/>
      <c r="L1" s="48"/>
      <c r="M1" s="48"/>
      <c r="N1" s="48"/>
    </row>
    <row r="3" spans="1:15" ht="18.75">
      <c r="C3" s="709" t="s">
        <v>771</v>
      </c>
      <c r="D3" s="709"/>
      <c r="E3" s="709"/>
      <c r="F3" s="709"/>
      <c r="G3" s="709"/>
      <c r="H3" s="709"/>
      <c r="I3" s="709"/>
      <c r="J3" s="709"/>
      <c r="K3" s="709"/>
      <c r="L3" s="709"/>
      <c r="M3" s="709"/>
      <c r="N3" s="709"/>
      <c r="O3" s="709"/>
    </row>
    <row r="5" spans="1:15" ht="47.1" customHeight="1">
      <c r="A5" s="49"/>
      <c r="B5" s="1" t="s">
        <v>1078</v>
      </c>
      <c r="C5" s="60" t="s">
        <v>17</v>
      </c>
      <c r="D5" s="60" t="s">
        <v>18</v>
      </c>
      <c r="E5" s="60" t="s">
        <v>19</v>
      </c>
      <c r="F5" s="60" t="s">
        <v>20</v>
      </c>
      <c r="G5" s="60" t="s">
        <v>21</v>
      </c>
      <c r="H5" s="60" t="s">
        <v>22</v>
      </c>
      <c r="I5" s="60" t="s">
        <v>23</v>
      </c>
      <c r="J5" s="60" t="s">
        <v>24</v>
      </c>
      <c r="K5" s="60" t="s">
        <v>25</v>
      </c>
      <c r="L5" s="60" t="s">
        <v>26</v>
      </c>
      <c r="M5" s="60" t="s">
        <v>27</v>
      </c>
      <c r="N5" s="171" t="s">
        <v>28</v>
      </c>
    </row>
    <row r="6" spans="1:15" ht="86.45" customHeight="1">
      <c r="B6" s="164">
        <v>232</v>
      </c>
      <c r="C6" s="127" t="str">
        <f>VLOOKUP(Tableau17[[#This Row],[Colonne1]],Tableau124[#All],2,FALSE)</f>
        <v>Yonne (89)</v>
      </c>
      <c r="D6" s="127" t="str">
        <f>VLOOKUP(Tableau17[[#This Row],[Colonne1]],Tableau124[#All],3,FALSE)</f>
        <v>Migennes</v>
      </c>
      <c r="E6" s="127" t="str">
        <f>VLOOKUP(Tableau17[[#This Row],[Colonne1]],Tableau124[#All],4,FALSE)</f>
        <v>89400</v>
      </c>
      <c r="F6" s="127" t="str">
        <f>VLOOKUP(Tableau17[[#This Row],[Colonne1]],Tableau124[#All],5,FALSE)</f>
        <v>AIHP-Centre Armançon
18 bis Rue Pierre SEMARD</v>
      </c>
      <c r="G6" s="98" t="str">
        <f>VLOOKUP(Tableau17[[#This Row],[Colonne1]],Tableau124[#All],6,FALSE)</f>
        <v>SMRA</v>
      </c>
      <c r="H6" s="127" t="str">
        <f>VLOOKUP(Tableau17[[#This Row],[Colonne1]],Tableau124[#All],7,FALSE)</f>
        <v>Association Icaunaise d'Hygiène Populaire</v>
      </c>
      <c r="I6" s="127" t="str">
        <f>VLOOKUP(Tableau17[[#This Row],[Colonne1]],Tableau124[#All],8,FALSE)</f>
        <v>Associatif</v>
      </c>
      <c r="J6" s="341" t="str">
        <f>VLOOKUP(Tableau17[[#This Row],[Colonne1]],Tableau124[#All],9,FALSE)</f>
        <v>accueil@centre-armancon.fr</v>
      </c>
      <c r="K6" s="437" t="str">
        <f>VLOOKUP(Tableau17[[#This Row],[Colonne1]],Tableau124[#All],10,FALSE)</f>
        <v>03 86 80 24 55</v>
      </c>
      <c r="L6" s="341" t="str">
        <f>VLOOKUP(Tableau17[[#This Row],[Colonne1]],Tableau124[#All],11,FALSE)</f>
        <v>www.centre-armancon.fr</v>
      </c>
      <c r="M6" s="257" t="str">
        <f>VLOOKUP(Tableau17[[#This Row],[Colonne1]],Tableau124[#All],12,FALSE)</f>
        <v xml:space="preserve"> </v>
      </c>
      <c r="N6" s="549" t="str">
        <f>VLOOKUP(Tableau17[[#This Row],[Colonne1]],Tableau124[#All],13,FALSE)</f>
        <v>- intervention auprès d'un public majeur ; 
- spécialisé en alcoolodépendance</v>
      </c>
    </row>
    <row r="7" spans="1:15" ht="86.45" customHeight="1">
      <c r="B7" s="164">
        <v>208</v>
      </c>
      <c r="C7" s="203" t="str">
        <f>VLOOKUP(Tableau17[[#This Row],[Colonne1]],Tableau124[#All],2,FALSE)</f>
        <v>Yonne (89)</v>
      </c>
      <c r="D7" s="203" t="str">
        <f>VLOOKUP(Tableau17[[#This Row],[Colonne1]],Tableau124[#All],3,FALSE)</f>
        <v>Auxerre</v>
      </c>
      <c r="E7" s="203" t="str">
        <f>VLOOKUP(Tableau17[[#This Row],[Colonne1]],Tableau124[#All],4,FALSE)</f>
        <v>89000</v>
      </c>
      <c r="F7" s="203" t="str">
        <f>VLOOKUP(Tableau17[[#This Row],[Colonne1]],Tableau124[#All],5,FALSE)</f>
        <v>8 Rue Colonel Rozanoff</v>
      </c>
      <c r="G7" s="203" t="str">
        <f>VLOOKUP(Tableau17[[#This Row],[Colonne1]],Tableau124[#All],6,FALSE)</f>
        <v>CAARUD</v>
      </c>
      <c r="H7" s="203" t="str">
        <f>VLOOKUP(Tableau17[[#This Row],[Colonne1]],Tableau124[#All],7,FALSE)</f>
        <v>CAARUD Addictions France</v>
      </c>
      <c r="I7" s="203" t="str">
        <f>VLOOKUP(Tableau17[[#This Row],[Colonne1]],Tableau124[#All],8,FALSE)</f>
        <v>Associatif</v>
      </c>
      <c r="J7" s="361" t="str">
        <f>VLOOKUP(Tableau17[[#This Row],[Colonne1]],Tableau124[#All],9,FALSE)</f>
        <v>caarud.auxerre@addictions-france.org</v>
      </c>
      <c r="K7" s="250" t="str">
        <f>VLOOKUP(Tableau17[[#This Row],[Colonne1]],Tableau124[#All],10,FALSE)</f>
        <v>03.86.33.76.41</v>
      </c>
      <c r="L7" s="359" t="str">
        <f>VLOOKUP(Tableau17[[#This Row],[Colonne1]],Tableau124[#All],11,FALSE)</f>
        <v>www.addictions-france.org</v>
      </c>
      <c r="M7" s="263" t="str">
        <f>VLOOKUP(Tableau17[[#This Row],[Colonne1]],Tableau124[#All],12,FALSE)</f>
        <v>Lundi 8h30 - 13h / 13h30 - 18h
Mardi 9h - 13h / 13h30 - 18h
Jeudi 8h30 -13h / 13h30 - 18h
Vendredi 9h - 13h / 13h30 - 18h</v>
      </c>
      <c r="N7" s="566" t="str">
        <f>VLOOKUP(Tableau17[[#This Row],[Colonne1]],Tableau124[#All],13,FALSE)</f>
        <v xml:space="preserve">- unité mobile pouvant servir de lieu d'accueil (déplacement sur tout le département) ; 
- intervention en maraude ; 
- programme d'échange de seringues ;
- intervention en milieu festif. </v>
      </c>
    </row>
    <row r="8" spans="1:15" ht="86.45" customHeight="1">
      <c r="B8" s="164">
        <v>16</v>
      </c>
      <c r="C8" s="400" t="str">
        <f>VLOOKUP(Tableau17[[#This Row],[Colonne1]],Tableau124[#All],2,FALSE)</f>
        <v>Côte-d’Or (21)</v>
      </c>
      <c r="D8" s="400" t="str">
        <f>VLOOKUP(Tableau17[[#This Row],[Colonne1]],Tableau124[#All],3,FALSE)</f>
        <v>Dijon</v>
      </c>
      <c r="E8" s="400" t="str">
        <f>VLOOKUP(Tableau17[[#This Row],[Colonne1]],Tableau124[#All],4,FALSE)</f>
        <v>21000</v>
      </c>
      <c r="F8" s="400" t="str">
        <f>VLOOKUP(Tableau17[[#This Row],[Colonne1]],Tableau124[#All],5,FALSE)</f>
        <v>9 Rue Févret</v>
      </c>
      <c r="G8" s="400" t="str">
        <f>VLOOKUP(Tableau17[[#This Row],[Colonne1]],Tableau124[#All],6,FALSE)</f>
        <v>CAARUD de réduction des risques et des dommages à distance</v>
      </c>
      <c r="H8" s="400" t="str">
        <f>VLOOKUP(Tableau17[[#This Row],[Colonne1]],Tableau124[#All],7,FALSE)</f>
        <v>Caarud le SPOT - SEDAP</v>
      </c>
      <c r="I8" s="400" t="str">
        <f>VLOOKUP(Tableau17[[#This Row],[Colonne1]],Tableau124[#All],8,FALSE)</f>
        <v>Associatif</v>
      </c>
      <c r="J8" s="455" t="str">
        <f>VLOOKUP(Tableau17[[#This Row],[Colonne1]],Tableau124[#All],9,FALSE)</f>
        <v>caarud@addictions-sedap.fr</v>
      </c>
      <c r="K8" s="446" t="str">
        <f>VLOOKUP(Tableau17[[#This Row],[Colonne1]],Tableau124[#All],10,FALSE)</f>
        <v>0688223918</v>
      </c>
      <c r="L8" s="456" t="str">
        <f>VLOOKUP(Tableau17[[#This Row],[Colonne1]],Tableau124[#All],11,FALSE)</f>
        <v>www.addictions-sedap.fr</v>
      </c>
      <c r="M8" s="457" t="str">
        <f>VLOOKUP(Tableau17[[#This Row],[Colonne1]],Tableau124[#All],12,FALSE)</f>
        <v>&gt; CAARUD : Lundi : de 10h30 à 14h ( accueil réservé aux femmes ) et de 14h à 17h00 ) ( Accueil mixte ) 
Mercredi : 10h30 à 17h
&gt; Intervention au CSAPA Belem : à la maison d'arrêt de DIJON deux mardis par mois de 14h à 16h
&gt; Permanence devant le CHRS Sadi Carnot deux mardis par mois de 16h30 à 18h30 avec le camping-car
&gt; Permanence au CHRS Machureau deux vendredis par mois de 14h à 16h</v>
      </c>
      <c r="N8" s="447" t="str">
        <f>VLOOKUP(Tableau17[[#This Row],[Colonne1]],Tableau124[#All],13,FALSE)</f>
        <v xml:space="preserve">- unité mobile pouvant servir de lieu d'accueil (déplacement en Côte-d-Or) ; 
- programme d'échange de seringues ;
- intervention en maraude ; 
- intervention en milieu festif ;
- intervention en milieu pénitentier à la Maison d'arrêt de Dijon. </v>
      </c>
    </row>
    <row r="9" spans="1:15" ht="86.45" customHeight="1">
      <c r="B9" s="164">
        <v>210</v>
      </c>
      <c r="C9" s="111" t="str">
        <f>VLOOKUP(Tableau17[[#This Row],[Colonne1]],Tableau124[#All],2,FALSE)</f>
        <v>Yonne (89)</v>
      </c>
      <c r="D9" s="111" t="str">
        <f>VLOOKUP(Tableau17[[#This Row],[Colonne1]],Tableau124[#All],3,FALSE)</f>
        <v>Auxerre</v>
      </c>
      <c r="E9" s="111" t="str">
        <f>VLOOKUP(Tableau17[[#This Row],[Colonne1]],Tableau124[#All],4,FALSE)</f>
        <v>89000</v>
      </c>
      <c r="F9" s="111" t="str">
        <f>VLOOKUP(Tableau17[[#This Row],[Colonne1]],Tableau124[#All],5,FALSE)</f>
        <v>2, boulevard de Verdun</v>
      </c>
      <c r="G9" s="111" t="str">
        <f>VLOOKUP(Tableau17[[#This Row],[Colonne1]],Tableau124[#All],6,FALSE)</f>
        <v>Consultations Hospitalières externes d'addictologie</v>
      </c>
      <c r="H9" s="111" t="str">
        <f>VLOOKUP(Tableau17[[#This Row],[Colonne1]],Tableau124[#All],7,FALSE)</f>
        <v>CENTRE HOSPITALIER d'AUXERRE</v>
      </c>
      <c r="I9" s="111" t="str">
        <f>VLOOKUP(Tableau17[[#This Row],[Colonne1]],Tableau124[#All],8,FALSE)</f>
        <v>Public</v>
      </c>
      <c r="J9" s="312" t="str">
        <f>VLOOKUP(Tableau17[[#This Row],[Colonne1]],Tableau124[#All],9,FALSE)</f>
        <v>scdag@ch-auxerre.fr</v>
      </c>
      <c r="K9" s="242" t="str">
        <f>VLOOKUP(Tableau17[[#This Row],[Colonne1]],Tableau124[#All],10,FALSE)</f>
        <v>03-86-48-48-62</v>
      </c>
      <c r="L9" s="312" t="str">
        <f>VLOOKUP(Tableau17[[#This Row],[Colonne1]],Tableau124[#All],11,FALSE)</f>
        <v>https://www.ght-unyon.fr/</v>
      </c>
      <c r="M9" s="246" t="str">
        <f>VLOOKUP(Tableau17[[#This Row],[Colonne1]],Tableau124[#All],12,FALSE)</f>
        <v>Sur rendez vous du lundi au vendredi</v>
      </c>
      <c r="N9" s="386" t="str">
        <f>VLOOKUP(Tableau17[[#This Row],[Colonne1]],Tableau124[#All],13,FALSE)</f>
        <v>Intervention auprès de public majeurs et mineurs</v>
      </c>
    </row>
    <row r="10" spans="1:15" ht="86.45" customHeight="1">
      <c r="B10" s="164">
        <v>215</v>
      </c>
      <c r="C10" s="126" t="str">
        <f>VLOOKUP(Tableau17[[#This Row],[Colonne1]],Tableau124[#All],2,FALSE)</f>
        <v>Yonne (89)</v>
      </c>
      <c r="D10" s="126" t="str">
        <f>VLOOKUP(Tableau17[[#This Row],[Colonne1]],Tableau124[#All],3,FALSE)</f>
        <v>Auxerre</v>
      </c>
      <c r="E10" s="126" t="str">
        <f>VLOOKUP(Tableau17[[#This Row],[Colonne1]],Tableau124[#All],4,FALSE)</f>
        <v>89000</v>
      </c>
      <c r="F10" s="126" t="str">
        <f>VLOOKUP(Tableau17[[#This Row],[Colonne1]],Tableau124[#All],5,FALSE)</f>
        <v>CENTRE HOSPITALIER d'AUXERRE, 2 boulevard de Verdun, Dans plusieurs services</v>
      </c>
      <c r="G10" s="128" t="str">
        <f>VLOOKUP(Tableau17[[#This Row],[Colonne1]],Tableau124[#All],6,FALSE)</f>
        <v>ELSA</v>
      </c>
      <c r="H10" s="126" t="str">
        <f>VLOOKUP(Tableau17[[#This Row],[Colonne1]],Tableau124[#All],7,FALSE)</f>
        <v>CENTRE HOSPITALIER d'AUXERRE</v>
      </c>
      <c r="I10" s="126" t="str">
        <f>VLOOKUP(Tableau17[[#This Row],[Colonne1]],Tableau124[#All],8,FALSE)</f>
        <v>Public</v>
      </c>
      <c r="J10" s="327" t="str">
        <f>VLOOKUP(Tableau17[[#This Row],[Colonne1]],Tableau124[#All],9,FALSE)</f>
        <v>scdag@ch-auxerre.fr</v>
      </c>
      <c r="K10" s="371" t="str">
        <f>VLOOKUP(Tableau17[[#This Row],[Colonne1]],Tableau124[#All],10,FALSE)</f>
        <v>03-86-48-48-62</v>
      </c>
      <c r="L10" s="328" t="str">
        <f>VLOOKUP(Tableau17[[#This Row],[Colonne1]],Tableau124[#All],11,FALSE)</f>
        <v>https://www.ght-unyon.fr/</v>
      </c>
      <c r="M10" s="257" t="str">
        <f>VLOOKUP(Tableau17[[#This Row],[Colonne1]],Tableau124[#All],12,FALSE)</f>
        <v xml:space="preserve"> </v>
      </c>
      <c r="N10" s="387" t="str">
        <f>VLOOKUP(Tableau17[[#This Row],[Colonne1]],Tableau124[#All],13,FALSE)</f>
        <v>- intervention auprès de public majeur ; 
- Intervention au sein de tous les services du CHA y compris en pédiatrie avec des mineurs</v>
      </c>
    </row>
    <row r="11" spans="1:15" ht="86.45" customHeight="1">
      <c r="B11" s="164">
        <v>217</v>
      </c>
      <c r="C11" s="96" t="str">
        <f>VLOOKUP(Tableau17[[#This Row],[Colonne1]],Tableau124[#All],2,FALSE)</f>
        <v>Yonne (89)</v>
      </c>
      <c r="D11" s="96" t="str">
        <f>VLOOKUP(Tableau17[[#This Row],[Colonne1]],Tableau124[#All],3,FALSE)</f>
        <v>Auxerre</v>
      </c>
      <c r="E11" s="96" t="str">
        <f>VLOOKUP(Tableau17[[#This Row],[Colonne1]],Tableau124[#All],4,FALSE)</f>
        <v>89000</v>
      </c>
      <c r="F11" s="96" t="str">
        <f>VLOOKUP(Tableau17[[#This Row],[Colonne1]],Tableau124[#All],5,FALSE)</f>
        <v>2 boulevard Verdun</v>
      </c>
      <c r="G11" s="96" t="str">
        <f>VLOOKUP(Tableau17[[#This Row],[Colonne1]],Tableau124[#All],6,FALSE)</f>
        <v>Sevrage simple</v>
      </c>
      <c r="H11" s="96" t="str">
        <f>VLOOKUP(Tableau17[[#This Row],[Colonne1]],Tableau124[#All],7,FALSE)</f>
        <v>CENTRE HOSPITALIER d'AUXERRE</v>
      </c>
      <c r="I11" s="96" t="str">
        <f>VLOOKUP(Tableau17[[#This Row],[Colonne1]],Tableau124[#All],8,FALSE)</f>
        <v>Public</v>
      </c>
      <c r="J11" s="335" t="str">
        <f>VLOOKUP(Tableau17[[#This Row],[Colonne1]],Tableau124[#All],9,FALSE)</f>
        <v>scdag@ch-auxerre.fr</v>
      </c>
      <c r="K11" s="406" t="str">
        <f>VLOOKUP(Tableau17[[#This Row],[Colonne1]],Tableau124[#All],10,FALSE)</f>
        <v>03-86-48-48-62</v>
      </c>
      <c r="L11" s="335" t="str">
        <f>VLOOKUP(Tableau17[[#This Row],[Colonne1]],Tableau124[#All],11,FALSE)</f>
        <v>https://www.ght-unyon.fr/</v>
      </c>
      <c r="M11" s="257" t="str">
        <f>VLOOKUP(Tableau17[[#This Row],[Colonne1]],Tableau124[#All],12,FALSE)</f>
        <v xml:space="preserve"> </v>
      </c>
      <c r="N11" s="388" t="str">
        <f>VLOOKUP(Tableau17[[#This Row],[Colonne1]],Tableau124[#All],13,FALSE)</f>
        <v>- intervention auprès de public majeur et mineur ; 
- lits installés au sein d'une même unité ; 
- unité hépatogastrologie</v>
      </c>
    </row>
    <row r="12" spans="1:15" ht="86.45" customHeight="1">
      <c r="B12" s="164">
        <v>221</v>
      </c>
      <c r="C12" s="222" t="str">
        <f>VLOOKUP(Tableau17[[#This Row],[Colonne1]],Tableau124[#All],2,FALSE)</f>
        <v>Yonne (89)</v>
      </c>
      <c r="D12" s="222" t="str">
        <f>VLOOKUP(Tableau17[[#This Row],[Colonne1]],Tableau124[#All],3,FALSE)</f>
        <v>Auxerre</v>
      </c>
      <c r="E12" s="222" t="str">
        <f>VLOOKUP(Tableau17[[#This Row],[Colonne1]],Tableau124[#All],4,FALSE)</f>
        <v>89000</v>
      </c>
      <c r="F12" s="222" t="str">
        <f>VLOOKUP(Tableau17[[#This Row],[Colonne1]],Tableau124[#All],5,FALSE)</f>
        <v>Maison d’arrêt d’Auxerre;Centre de détention de Joux-la-Ville</v>
      </c>
      <c r="G12" s="222" t="str">
        <f>VLOOKUP(Tableau17[[#This Row],[Colonne1]],Tableau124[#All],6,FALSE)</f>
        <v>Unité sanitaire en milieu pénitentiaire</v>
      </c>
      <c r="H12" s="223" t="str">
        <f>VLOOKUP(Tableau17[[#This Row],[Colonne1]],Tableau124[#All],7,FALSE)</f>
        <v>CENTRE HOSPITALIER d'AUXERRE</v>
      </c>
      <c r="I12" s="222" t="str">
        <f>VLOOKUP(Tableau17[[#This Row],[Colonne1]],Tableau124[#All],8,FALSE)</f>
        <v>Public</v>
      </c>
      <c r="J12" s="362" t="str">
        <f>VLOOKUP(Tableau17[[#This Row],[Colonne1]],Tableau124[#All],9,FALSE)</f>
        <v>scdag@ch-auxerre.fr</v>
      </c>
      <c r="K12" s="411" t="str">
        <f>VLOOKUP(Tableau17[[#This Row],[Colonne1]],Tableau124[#All],10,FALSE)</f>
        <v>03-86-48-48-62</v>
      </c>
      <c r="L12" s="362" t="str">
        <f>VLOOKUP(Tableau17[[#This Row],[Colonne1]],Tableau124[#All],11,FALSE)</f>
        <v>https://www.ght-unyon.fr/</v>
      </c>
      <c r="M12" s="258" t="str">
        <f>VLOOKUP(Tableau17[[#This Row],[Colonne1]],Tableau124[#All],12,FALSE)</f>
        <v xml:space="preserve"> </v>
      </c>
      <c r="N12" s="286" t="str">
        <f>VLOOKUP(Tableau17[[#This Row],[Colonne1]],Tableau124[#All],13,FALSE)</f>
        <v>- unité de consultations et de soins ambulatoires (UCSA) ;
- intervention de niveau 1 (consultations, prestations et activités ambulatoires).</v>
      </c>
    </row>
    <row r="13" spans="1:15" ht="86.45" customHeight="1">
      <c r="B13" s="164">
        <v>227</v>
      </c>
      <c r="C13" s="126" t="str">
        <f>VLOOKUP(Tableau17[[#This Row],[Colonne1]],Tableau124[#All],2,FALSE)</f>
        <v>Yonne (89)</v>
      </c>
      <c r="D13" s="126" t="str">
        <f>VLOOKUP(Tableau17[[#This Row],[Colonne1]],Tableau124[#All],3,FALSE)</f>
        <v>Joigny</v>
      </c>
      <c r="E13" s="126" t="str">
        <f>VLOOKUP(Tableau17[[#This Row],[Colonne1]],Tableau124[#All],4,FALSE)</f>
        <v>89300</v>
      </c>
      <c r="F13" s="128" t="str">
        <f>VLOOKUP(Tableau17[[#This Row],[Colonne1]],Tableau124[#All],5,FALSE)</f>
        <v>CH JOIGNY 3 quai de l'hôpital, Dans plusieurs services</v>
      </c>
      <c r="G13" s="128" t="str">
        <f>VLOOKUP(Tableau17[[#This Row],[Colonne1]],Tableau124[#All],6,FALSE)</f>
        <v>ELSA</v>
      </c>
      <c r="H13" s="126" t="str">
        <f>VLOOKUP(Tableau17[[#This Row],[Colonne1]],Tableau124[#All],7,FALSE)</f>
        <v>CENTRE HOSPITALIER DE JOIGNY POLE HOPITAL</v>
      </c>
      <c r="I13" s="126" t="str">
        <f>VLOOKUP(Tableau17[[#This Row],[Colonne1]],Tableau124[#All],8,FALSE)</f>
        <v>Public</v>
      </c>
      <c r="J13" s="327" t="str">
        <f>VLOOKUP(Tableau17[[#This Row],[Colonne1]],Tableau124[#All],9,FALSE)</f>
        <v>addictologie@ch-joigny.fr</v>
      </c>
      <c r="K13" s="371" t="str">
        <f>VLOOKUP(Tableau17[[#This Row],[Colonne1]],Tableau124[#All],10,FALSE)</f>
        <v>03.86.92.33.77 celui des Consultations Externes</v>
      </c>
      <c r="L13" s="325" t="str">
        <f>VLOOKUP(Tableau17[[#This Row],[Colonne1]],Tableau124[#All],11,FALSE)</f>
        <v xml:space="preserve"> </v>
      </c>
      <c r="M13" s="257" t="str">
        <f>VLOOKUP(Tableau17[[#This Row],[Colonne1]],Tableau124[#All],12,FALSE)</f>
        <v xml:space="preserve"> </v>
      </c>
      <c r="N13" s="387" t="str">
        <f>VLOOKUP(Tableau17[[#This Row],[Colonne1]],Tableau124[#All],13,FALSE)</f>
        <v>- intervention auprès de public majeur ; 
- intervention en service de médecine, service des urgences, ssr cardio-respiratoire, had, emsp, HDJ en pôle h
ussr généraliste, l séjour, moyen séjour en pôle G</v>
      </c>
    </row>
    <row r="14" spans="1:15" ht="86.45" customHeight="1">
      <c r="B14" s="164">
        <v>226</v>
      </c>
      <c r="C14" s="111" t="str">
        <f>VLOOKUP(Tableau17[[#This Row],[Colonne1]],Tableau124[#All],2,FALSE)</f>
        <v>Yonne (89)</v>
      </c>
      <c r="D14" s="111" t="str">
        <f>VLOOKUP(Tableau17[[#This Row],[Colonne1]],Tableau124[#All],3,FALSE)</f>
        <v>Joigny</v>
      </c>
      <c r="E14" s="111" t="str">
        <f>VLOOKUP(Tableau17[[#This Row],[Colonne1]],Tableau124[#All],4,FALSE)</f>
        <v>89300</v>
      </c>
      <c r="F14" s="111" t="str">
        <f>VLOOKUP(Tableau17[[#This Row],[Colonne1]],Tableau124[#All],5,FALSE)</f>
        <v>CH JOIGNY 3  quai de l'hôpital</v>
      </c>
      <c r="G14" s="111" t="str">
        <f>VLOOKUP(Tableau17[[#This Row],[Colonne1]],Tableau124[#All],6,FALSE)</f>
        <v>Consultations Hospitalières externes d'addictologie</v>
      </c>
      <c r="H14" s="111" t="str">
        <f>VLOOKUP(Tableau17[[#This Row],[Colonne1]],Tableau124[#All],7,FALSE)</f>
        <v xml:space="preserve">Centre Hospitalier de Joigny pôle H </v>
      </c>
      <c r="I14" s="111" t="str">
        <f>VLOOKUP(Tableau17[[#This Row],[Colonne1]],Tableau124[#All],8,FALSE)</f>
        <v>Public</v>
      </c>
      <c r="J14" s="312" t="str">
        <f>VLOOKUP(Tableau17[[#This Row],[Colonne1]],Tableau124[#All],9,FALSE)</f>
        <v>addictologie@ch-joigny.fr</v>
      </c>
      <c r="K14" s="242" t="str">
        <f>VLOOKUP(Tableau17[[#This Row],[Colonne1]],Tableau124[#All],10,FALSE)</f>
        <v>03.86.92.33.77</v>
      </c>
      <c r="L14" s="325" t="str">
        <f>VLOOKUP(Tableau17[[#This Row],[Colonne1]],Tableau124[#All],11,FALSE)</f>
        <v xml:space="preserve"> </v>
      </c>
      <c r="M14" s="246" t="str">
        <f>VLOOKUP(Tableau17[[#This Row],[Colonne1]],Tableau124[#All],12,FALSE)</f>
        <v>5 jours sur 7 de 8h à 16h (heure de fermeture du secrétariat d'accueil, 
Rendez-vous les week-end exceptionnellement si nécessité (routiers, travaille en 2/8)</v>
      </c>
      <c r="N14" s="386" t="str">
        <f>VLOOKUP(Tableau17[[#This Row],[Colonne1]],Tableau124[#All],13,FALSE)</f>
        <v>Intervention auprès de public majeurs et mineurs</v>
      </c>
    </row>
    <row r="15" spans="1:15" ht="86.45" customHeight="1">
      <c r="B15" s="164">
        <v>229</v>
      </c>
      <c r="C15" s="111" t="str">
        <f>VLOOKUP(Tableau17[[#This Row],[Colonne1]],Tableau124[#All],2,FALSE)</f>
        <v>Yonne (89)</v>
      </c>
      <c r="D15" s="111" t="str">
        <f>VLOOKUP(Tableau17[[#This Row],[Colonne1]],Tableau124[#All],3,FALSE)</f>
        <v>Migennes</v>
      </c>
      <c r="E15" s="111">
        <f>VLOOKUP(Tableau17[[#This Row],[Colonne1]],Tableau124[#All],4,FALSE)</f>
        <v>89400</v>
      </c>
      <c r="F15" s="111" t="str">
        <f>VLOOKUP(Tableau17[[#This Row],[Colonne1]],Tableau124[#All],5,FALSE)</f>
        <v>CH JOIGNY 3 Quai de l'Hôpital</v>
      </c>
      <c r="G15" s="111" t="str">
        <f>VLOOKUP(Tableau17[[#This Row],[Colonne1]],Tableau124[#All],6,FALSE)</f>
        <v>Consultations Hospitalières externes d'addictologie (autre lieu d'intervention)</v>
      </c>
      <c r="H15" s="111" t="str">
        <f>VLOOKUP(Tableau17[[#This Row],[Colonne1]],Tableau124[#All],7,FALSE)</f>
        <v xml:space="preserve">Centre Hospitalier de Joigny pôle H </v>
      </c>
      <c r="I15" s="111" t="str">
        <f>VLOOKUP(Tableau17[[#This Row],[Colonne1]],Tableau124[#All],8,FALSE)</f>
        <v>Public</v>
      </c>
      <c r="J15" s="311" t="str">
        <f>VLOOKUP(Tableau17[[#This Row],[Colonne1]],Tableau124[#All],9,FALSE)</f>
        <v>addictologie@ch-joigny.fr</v>
      </c>
      <c r="K15" s="242" t="str">
        <f>VLOOKUP(Tableau17[[#This Row],[Colonne1]],Tableau124[#All],10,FALSE)</f>
        <v>03.86.92.33.77</v>
      </c>
      <c r="L15" s="324" t="str">
        <f>VLOOKUP(Tableau17[[#This Row],[Colonne1]],Tableau124[#All],11,FALSE)</f>
        <v xml:space="preserve"> </v>
      </c>
      <c r="M15" s="246" t="str">
        <f>VLOOKUP(Tableau17[[#This Row],[Colonne1]],Tableau124[#All],12,FALSE)</f>
        <v>ELSA Variable</v>
      </c>
      <c r="N15" s="129" t="str">
        <f>VLOOKUP(Tableau17[[#This Row],[Colonne1]],Tableau124[#All],13,FALSE)</f>
        <v>Intervention auprès de public majeurs et mineurs ainsi qu'au CH de Joigny, pôle hôpital</v>
      </c>
    </row>
    <row r="16" spans="1:15" ht="86.45" customHeight="1">
      <c r="B16" s="164">
        <v>228</v>
      </c>
      <c r="C16" s="96" t="str">
        <f>VLOOKUP(Tableau17[[#This Row],[Colonne1]],Tableau124[#All],2,FALSE)</f>
        <v>Yonne (89)</v>
      </c>
      <c r="D16" s="96" t="str">
        <f>VLOOKUP(Tableau17[[#This Row],[Colonne1]],Tableau124[#All],3,FALSE)</f>
        <v>Joigny</v>
      </c>
      <c r="E16" s="96" t="str">
        <f>VLOOKUP(Tableau17[[#This Row],[Colonne1]],Tableau124[#All],4,FALSE)</f>
        <v>89300</v>
      </c>
      <c r="F16" s="96" t="str">
        <f>VLOOKUP(Tableau17[[#This Row],[Colonne1]],Tableau124[#All],5,FALSE)</f>
        <v>CH JOIGNY 3 quai de l'hôpital</v>
      </c>
      <c r="G16" s="96" t="str">
        <f>VLOOKUP(Tableau17[[#This Row],[Colonne1]],Tableau124[#All],6,FALSE)</f>
        <v>Sevrage simple</v>
      </c>
      <c r="H16" s="96" t="str">
        <f>VLOOKUP(Tableau17[[#This Row],[Colonne1]],Tableau124[#All],7,FALSE)</f>
        <v>CENTRE HOSPITALIER DE JOIGNY POLE HOPITAL</v>
      </c>
      <c r="I16" s="96" t="str">
        <f>VLOOKUP(Tableau17[[#This Row],[Colonne1]],Tableau124[#All],8,FALSE)</f>
        <v>Public</v>
      </c>
      <c r="J16" s="333" t="str">
        <f>VLOOKUP(Tableau17[[#This Row],[Colonne1]],Tableau124[#All],9,FALSE)</f>
        <v>addictologie@ch-joigny.fr</v>
      </c>
      <c r="K16" s="406" t="str">
        <f>VLOOKUP(Tableau17[[#This Row],[Colonne1]],Tableau124[#All],10,FALSE)</f>
        <v>03 86 92 33 33</v>
      </c>
      <c r="L16" s="324" t="str">
        <f>VLOOKUP(Tableau17[[#This Row],[Colonne1]],Tableau124[#All],11,FALSE)</f>
        <v xml:space="preserve"> </v>
      </c>
      <c r="M16" s="257" t="str">
        <f>VLOOKUP(Tableau17[[#This Row],[Colonne1]],Tableau124[#All],12,FALSE)</f>
        <v xml:space="preserve"> </v>
      </c>
      <c r="N16" s="291" t="str">
        <f>VLOOKUP(Tableau17[[#This Row],[Colonne1]],Tableau124[#All],13,FALSE)</f>
        <v xml:space="preserve">- intervention auprès de public majeur et mineur ; 
- lits disséminés dans différentes unités hospitalières ;
- 2 unités USC, 1 lit délocalisé de médecine B, 1 lit de médecine B. </v>
      </c>
    </row>
    <row r="17" spans="2:14" ht="86.45" customHeight="1">
      <c r="B17" s="164">
        <v>238</v>
      </c>
      <c r="C17" s="126" t="str">
        <f>VLOOKUP(Tableau17[[#This Row],[Colonne1]],Tableau124[#All],2,FALSE)</f>
        <v>Yonne (89)</v>
      </c>
      <c r="D17" s="126" t="str">
        <f>VLOOKUP(Tableau17[[#This Row],[Colonne1]],Tableau124[#All],3,FALSE)</f>
        <v>Sens</v>
      </c>
      <c r="E17" s="126" t="str">
        <f>VLOOKUP(Tableau17[[#This Row],[Colonne1]],Tableau124[#All],4,FALSE)</f>
        <v>89100</v>
      </c>
      <c r="F17" s="126" t="str">
        <f>VLOOKUP(Tableau17[[#This Row],[Colonne1]],Tableau124[#All],5,FALSE)</f>
        <v>Centre Hospitalier de Sens, 1 avenue Pierre de Coubertin, Dans plusieurs services</v>
      </c>
      <c r="G17" s="128" t="str">
        <f>VLOOKUP(Tableau17[[#This Row],[Colonne1]],Tableau124[#All],6,FALSE)</f>
        <v>ELSA</v>
      </c>
      <c r="H17" s="126" t="str">
        <f>VLOOKUP(Tableau17[[#This Row],[Colonne1]],Tableau124[#All],7,FALSE)</f>
        <v>Centre Hospitalier de Sens</v>
      </c>
      <c r="I17" s="126" t="str">
        <f>VLOOKUP(Tableau17[[#This Row],[Colonne1]],Tableau124[#All],8,FALSE)</f>
        <v>Public</v>
      </c>
      <c r="J17" s="327" t="str">
        <f>VLOOKUP(Tableau17[[#This Row],[Colonne1]],Tableau124[#All],9,FALSE)</f>
        <v xml:space="preserve"> secretaddicto@ch-sens.fr </v>
      </c>
      <c r="K17" s="371" t="str">
        <f>VLOOKUP(Tableau17[[#This Row],[Colonne1]],Tableau124[#All],10,FALSE)</f>
        <v>03.86.86.15.35</v>
      </c>
      <c r="L17" s="327" t="str">
        <f>VLOOKUP(Tableau17[[#This Row],[Colonne1]],Tableau124[#All],11,FALSE)</f>
        <v>www.ch-sens.fr</v>
      </c>
      <c r="M17" s="257" t="str">
        <f>VLOOKUP(Tableau17[[#This Row],[Colonne1]],Tableau124[#All],12,FALSE)</f>
        <v xml:space="preserve"> </v>
      </c>
      <c r="N17" s="293" t="str">
        <f>VLOOKUP(Tableau17[[#This Row],[Colonne1]],Tableau124[#All],13,FALSE)</f>
        <v>- intervention auprès de public majeur ; 
- intervention en pédiatrie et dans les services MCO et EHPAD</v>
      </c>
    </row>
    <row r="18" spans="2:14" ht="86.45" customHeight="1">
      <c r="B18" s="164">
        <v>234</v>
      </c>
      <c r="C18" s="111" t="str">
        <f>VLOOKUP(Tableau17[[#This Row],[Colonne1]],Tableau124[#All],2,FALSE)</f>
        <v>Yonne (89)</v>
      </c>
      <c r="D18" s="111" t="str">
        <f>VLOOKUP(Tableau17[[#This Row],[Colonne1]],Tableau124[#All],3,FALSE)</f>
        <v>Sens</v>
      </c>
      <c r="E18" s="111" t="str">
        <f>VLOOKUP(Tableau17[[#This Row],[Colonne1]],Tableau124[#All],4,FALSE)</f>
        <v>89100</v>
      </c>
      <c r="F18" s="111" t="str">
        <f>VLOOKUP(Tableau17[[#This Row],[Colonne1]],Tableau124[#All],5,FALSE)</f>
        <v>Unité mobile d'addictologie, 5e étage, 1 avenue Pierre de Coubertin</v>
      </c>
      <c r="G18" s="111" t="str">
        <f>VLOOKUP(Tableau17[[#This Row],[Colonne1]],Tableau124[#All],6,FALSE)</f>
        <v>Consultations Hospitalières externes d'addictologie</v>
      </c>
      <c r="H18" s="111" t="str">
        <f>VLOOKUP(Tableau17[[#This Row],[Colonne1]],Tableau124[#All],7,FALSE)</f>
        <v>Centre Hospitalier de Sens</v>
      </c>
      <c r="I18" s="111" t="str">
        <f>VLOOKUP(Tableau17[[#This Row],[Colonne1]],Tableau124[#All],8,FALSE)</f>
        <v>Public</v>
      </c>
      <c r="J18" s="312" t="str">
        <f>VLOOKUP(Tableau17[[#This Row],[Colonne1]],Tableau124[#All],9,FALSE)</f>
        <v xml:space="preserve">secretaddicto@ch-sens.fr </v>
      </c>
      <c r="K18" s="242" t="str">
        <f>VLOOKUP(Tableau17[[#This Row],[Colonne1]],Tableau124[#All],10,FALSE)</f>
        <v>03.86.86.15.35</v>
      </c>
      <c r="L18" s="311" t="str">
        <f>VLOOKUP(Tableau17[[#This Row],[Colonne1]],Tableau124[#All],11,FALSE)</f>
        <v>www.ch-sens.fr</v>
      </c>
      <c r="M18" s="246" t="str">
        <f>VLOOKUP(Tableau17[[#This Row],[Colonne1]],Tableau124[#All],12,FALSE)</f>
        <v>Lundi : 14h-17h
Mercredi 9h-12h / 14h-17h
Vendredi matin : 9h -12h</v>
      </c>
      <c r="N18" s="386" t="str">
        <f>VLOOKUP(Tableau17[[#This Row],[Colonne1]],Tableau124[#All],13,FALSE)</f>
        <v>Intervention auprès de public majeurs et mineurs</v>
      </c>
    </row>
    <row r="19" spans="2:14" ht="86.45" customHeight="1">
      <c r="B19" s="164">
        <v>239</v>
      </c>
      <c r="C19" s="96" t="str">
        <f>VLOOKUP(Tableau17[[#This Row],[Colonne1]],Tableau124[#All],2,FALSE)</f>
        <v>Yonne (89)</v>
      </c>
      <c r="D19" s="96" t="str">
        <f>VLOOKUP(Tableau17[[#This Row],[Colonne1]],Tableau124[#All],3,FALSE)</f>
        <v>Sens</v>
      </c>
      <c r="E19" s="96" t="str">
        <f>VLOOKUP(Tableau17[[#This Row],[Colonne1]],Tableau124[#All],4,FALSE)</f>
        <v>89100</v>
      </c>
      <c r="F19" s="96" t="str">
        <f>VLOOKUP(Tableau17[[#This Row],[Colonne1]],Tableau124[#All],5,FALSE)</f>
        <v>Médecine Polyvalente - Médecine de Spécialités, Centre Hospitalier de Sens, 1 avenue Pierre de Coubertin</v>
      </c>
      <c r="G19" s="96" t="str">
        <f>VLOOKUP(Tableau17[[#This Row],[Colonne1]],Tableau124[#All],6,FALSE)</f>
        <v>Sevrage simple</v>
      </c>
      <c r="H19" s="96" t="str">
        <f>VLOOKUP(Tableau17[[#This Row],[Colonne1]],Tableau124[#All],7,FALSE)</f>
        <v>Centre Hospitalier de Sens</v>
      </c>
      <c r="I19" s="96" t="str">
        <f>VLOOKUP(Tableau17[[#This Row],[Colonne1]],Tableau124[#All],8,FALSE)</f>
        <v>Public</v>
      </c>
      <c r="J19" s="335" t="str">
        <f>VLOOKUP(Tableau17[[#This Row],[Colonne1]],Tableau124[#All],9,FALSE)</f>
        <v xml:space="preserve"> secretaddicto@ch-sens.fr</v>
      </c>
      <c r="K19" s="406" t="str">
        <f>VLOOKUP(Tableau17[[#This Row],[Colonne1]],Tableau124[#All],10,FALSE)</f>
        <v>03.86.86.15.35</v>
      </c>
      <c r="L19" s="335" t="str">
        <f>VLOOKUP(Tableau17[[#This Row],[Colonne1]],Tableau124[#All],11,FALSE)</f>
        <v>www.ch-sens.fr</v>
      </c>
      <c r="M19" s="257" t="str">
        <f>VLOOKUP(Tableau17[[#This Row],[Colonne1]],Tableau124[#All],12,FALSE)</f>
        <v xml:space="preserve"> </v>
      </c>
      <c r="N19" s="291" t="str">
        <f>VLOOKUP(Tableau17[[#This Row],[Colonne1]],Tableau124[#All],13,FALSE)</f>
        <v>- intervention auprès d'un public majeur ;
- lits disséminés dans différentes unités hospitalières ; 
- unité de médecine polyvalente ou médecine de spécialités</v>
      </c>
    </row>
    <row r="20" spans="2:14" ht="86.45" customHeight="1">
      <c r="B20" s="164">
        <v>216</v>
      </c>
      <c r="C20" s="210" t="str">
        <f>VLOOKUP(Tableau17[[#This Row],[Colonne1]],Tableau124[#All],2,FALSE)</f>
        <v>Yonne (89)</v>
      </c>
      <c r="D20" s="126" t="str">
        <f>VLOOKUP(Tableau17[[#This Row],[Colonne1]],Tableau124[#All],3,FALSE)</f>
        <v>Auxerre</v>
      </c>
      <c r="E20" s="126">
        <f>VLOOKUP(Tableau17[[#This Row],[Colonne1]],Tableau124[#All],4,FALSE)</f>
        <v>89000</v>
      </c>
      <c r="F20" s="126" t="str">
        <f>VLOOKUP(Tableau17[[#This Row],[Colonne1]],Tableau124[#All],5,FALSE)</f>
        <v>4 Av. Pierre Scherrer</v>
      </c>
      <c r="G20" s="128" t="str">
        <f>VLOOKUP(Tableau17[[#This Row],[Colonne1]],Tableau124[#All],6,FALSE)</f>
        <v>ELSA</v>
      </c>
      <c r="H20" s="126" t="str">
        <f>VLOOKUP(Tableau17[[#This Row],[Colonne1]],Tableau124[#All],7,FALSE)</f>
        <v>CHS Yonne</v>
      </c>
      <c r="I20" s="126" t="str">
        <f>VLOOKUP(Tableau17[[#This Row],[Colonne1]],Tableau124[#All],8,FALSE)</f>
        <v>Public</v>
      </c>
      <c r="J20" s="328" t="str">
        <f>VLOOKUP(Tableau17[[#This Row],[Colonne1]],Tableau124[#All],9,FALSE)</f>
        <v>secteur3@chs-yonne.fr</v>
      </c>
      <c r="K20" s="373" t="str">
        <f>VLOOKUP(Tableau17[[#This Row],[Colonne1]],Tableau124[#All],10,FALSE)</f>
        <v>03 86 34 86 00 (CMP Avallon) ou 03 86 54 80 70 (CMP Tonnerre)</v>
      </c>
      <c r="L20" s="328" t="str">
        <f>VLOOKUP(Tableau17[[#This Row],[Colonne1]],Tableau124[#All],11,FALSE)</f>
        <v>http://www.chs-yonne.fr/</v>
      </c>
      <c r="M20" s="257" t="str">
        <f>VLOOKUP(Tableau17[[#This Row],[Colonne1]],Tableau124[#All],12,FALSE)</f>
        <v xml:space="preserve"> </v>
      </c>
      <c r="N20" s="293" t="str">
        <f>VLOOKUP(Tableau17[[#This Row],[Colonne1]],Tableau124[#All],13,FALSE)</f>
        <v>- intervention auprès de public majeur ; 
- interventions en urgences  CH Auxerre, Avallon et Tonnerre 
Médecine polyvalente CH Auxerre, Avallon et Tonnerre 
CMP AVALLON et TONNERRE
PASS Psy
Services d'addiction des CH</v>
      </c>
    </row>
    <row r="21" spans="2:14" ht="86.45" customHeight="1">
      <c r="B21" s="164">
        <v>211</v>
      </c>
      <c r="C21" s="111" t="str">
        <f>VLOOKUP(Tableau17[[#This Row],[Colonne1]],Tableau124[#All],2,FALSE)</f>
        <v>Yonne (89)</v>
      </c>
      <c r="D21" s="111" t="str">
        <f>VLOOKUP(Tableau17[[#This Row],[Colonne1]],Tableau124[#All],3,FALSE)</f>
        <v>Auxerre</v>
      </c>
      <c r="E21" s="111" t="str">
        <f>VLOOKUP(Tableau17[[#This Row],[Colonne1]],Tableau124[#All],4,FALSE)</f>
        <v>89000</v>
      </c>
      <c r="F21" s="111" t="str">
        <f>VLOOKUP(Tableau17[[#This Row],[Colonne1]],Tableau124[#All],5,FALSE)</f>
        <v>4 Av. Pierre Scherrer</v>
      </c>
      <c r="G21" s="111" t="str">
        <f>VLOOKUP(Tableau17[[#This Row],[Colonne1]],Tableau124[#All],6,FALSE)</f>
        <v>Consultations Hospitalières externes d'addictologie</v>
      </c>
      <c r="H21" s="111" t="str">
        <f>VLOOKUP(Tableau17[[#This Row],[Colonne1]],Tableau124[#All],7,FALSE)</f>
        <v>CHS Yonne</v>
      </c>
      <c r="I21" s="111" t="str">
        <f>VLOOKUP(Tableau17[[#This Row],[Colonne1]],Tableau124[#All],8,FALSE)</f>
        <v>Public</v>
      </c>
      <c r="J21" s="311" t="str">
        <f>VLOOKUP(Tableau17[[#This Row],[Colonne1]],Tableau124[#All],9,FALSE)</f>
        <v>secteur3@chs-yonne.fr</v>
      </c>
      <c r="K21" s="239" t="str">
        <f>VLOOKUP(Tableau17[[#This Row],[Colonne1]],Tableau124[#All],10,FALSE)</f>
        <v>03 86 94 38 71</v>
      </c>
      <c r="L21" s="312" t="str">
        <f>VLOOKUP(Tableau17[[#This Row],[Colonne1]],Tableau124[#All],11,FALSE)</f>
        <v>http://www.chs-yonne.fr/</v>
      </c>
      <c r="M21" s="246" t="str">
        <f>VLOOKUP(Tableau17[[#This Row],[Colonne1]],Tableau124[#All],12,FALSE)</f>
        <v>du lundi au vendredi de 09:00 à 16:30</v>
      </c>
      <c r="N21" s="386" t="str">
        <f>VLOOKUP(Tableau17[[#This Row],[Colonne1]],Tableau124[#All],13,FALSE)</f>
        <v xml:space="preserve">Intervention auprès de public majeurs </v>
      </c>
    </row>
    <row r="22" spans="2:14" ht="86.45" customHeight="1">
      <c r="B22" s="164">
        <v>218</v>
      </c>
      <c r="C22" s="228" t="str">
        <f>VLOOKUP(Tableau17[[#This Row],[Colonne1]],Tableau124[#All],2,FALSE)</f>
        <v>Yonne (89)</v>
      </c>
      <c r="D22" s="96" t="str">
        <f>VLOOKUP(Tableau17[[#This Row],[Colonne1]],Tableau124[#All],3,FALSE)</f>
        <v>Auxerre</v>
      </c>
      <c r="E22" s="96">
        <f>VLOOKUP(Tableau17[[#This Row],[Colonne1]],Tableau124[#All],4,FALSE)</f>
        <v>89000</v>
      </c>
      <c r="F22" s="96" t="str">
        <f>VLOOKUP(Tableau17[[#This Row],[Colonne1]],Tableau124[#All],5,FALSE)</f>
        <v>4 Av. Pierre Scherrer</v>
      </c>
      <c r="G22" s="96" t="str">
        <f>VLOOKUP(Tableau17[[#This Row],[Colonne1]],Tableau124[#All],6,FALSE)</f>
        <v>Sevrage simple</v>
      </c>
      <c r="H22" s="96" t="str">
        <f>VLOOKUP(Tableau17[[#This Row],[Colonne1]],Tableau124[#All],7,FALSE)</f>
        <v>CHS Yonne</v>
      </c>
      <c r="I22" s="96" t="str">
        <f>VLOOKUP(Tableau17[[#This Row],[Colonne1]],Tableau124[#All],8,FALSE)</f>
        <v>Public</v>
      </c>
      <c r="J22" s="333" t="str">
        <f>VLOOKUP(Tableau17[[#This Row],[Colonne1]],Tableau124[#All],9,FALSE)</f>
        <v>secteur3@chs-yonne.fr</v>
      </c>
      <c r="K22" s="372" t="str">
        <f>VLOOKUP(Tableau17[[#This Row],[Colonne1]],Tableau124[#All],10,FALSE)</f>
        <v>03 86 94 38 10 secrétariat Addictologie</v>
      </c>
      <c r="L22" s="335" t="str">
        <f>VLOOKUP(Tableau17[[#This Row],[Colonne1]],Tableau124[#All],11,FALSE)</f>
        <v>http://www.chs-yonne.fr/</v>
      </c>
      <c r="M22" s="258" t="str">
        <f>VLOOKUP(Tableau17[[#This Row],[Colonne1]],Tableau124[#All],12,FALSE)</f>
        <v xml:space="preserve"> </v>
      </c>
      <c r="N22" s="388" t="str">
        <f>VLOOKUP(Tableau17[[#This Row],[Colonne1]],Tableau124[#All],13,FALSE)</f>
        <v>- interventions auprès d'un public majeur ; 
- lits installés au sein d'une même unité ; 
- unité Michel Thuillier</v>
      </c>
    </row>
    <row r="23" spans="2:14" ht="86.45" customHeight="1">
      <c r="B23" s="164">
        <v>219</v>
      </c>
      <c r="C23" s="248" t="str">
        <f>VLOOKUP(Tableau17[[#This Row],[Colonne1]],Tableau124[#All],2,FALSE)</f>
        <v>Yonne (89)</v>
      </c>
      <c r="D23" s="125" t="str">
        <f>VLOOKUP(Tableau17[[#This Row],[Colonne1]],Tableau124[#All],3,FALSE)</f>
        <v>Auxerre</v>
      </c>
      <c r="E23" s="125">
        <f>VLOOKUP(Tableau17[[#This Row],[Colonne1]],Tableau124[#All],4,FALSE)</f>
        <v>89000</v>
      </c>
      <c r="F23" s="125" t="str">
        <f>VLOOKUP(Tableau17[[#This Row],[Colonne1]],Tableau124[#All],5,FALSE)</f>
        <v>4 Av. Pierre Scherrer</v>
      </c>
      <c r="G23" s="124" t="str">
        <f>VLOOKUP(Tableau17[[#This Row],[Colonne1]],Tableau124[#All],6,FALSE)</f>
        <v>Soins complexes</v>
      </c>
      <c r="H23" s="125" t="str">
        <f>VLOOKUP(Tableau17[[#This Row],[Colonne1]],Tableau124[#All],7,FALSE)</f>
        <v>CHS Yonne</v>
      </c>
      <c r="I23" s="125" t="str">
        <f>VLOOKUP(Tableau17[[#This Row],[Colonne1]],Tableau124[#All],8,FALSE)</f>
        <v>Public</v>
      </c>
      <c r="J23" s="345" t="str">
        <f>VLOOKUP(Tableau17[[#This Row],[Colonne1]],Tableau124[#All],9,FALSE)</f>
        <v>secteur3@chs-yonne.fr</v>
      </c>
      <c r="K23" s="375" t="str">
        <f>VLOOKUP(Tableau17[[#This Row],[Colonne1]],Tableau124[#All],10,FALSE)</f>
        <v>03 86 94 38 10 secrétariat Addictologie</v>
      </c>
      <c r="L23" s="346" t="str">
        <f>VLOOKUP(Tableau17[[#This Row],[Colonne1]],Tableau124[#All],11,FALSE)</f>
        <v>http://www.chs-yonne.fr/</v>
      </c>
      <c r="M23" s="258" t="str">
        <f>VLOOKUP(Tableau17[[#This Row],[Colonne1]],Tableau124[#All],12,FALSE)</f>
        <v xml:space="preserve"> </v>
      </c>
      <c r="N23" s="622" t="str">
        <f>VLOOKUP(Tableau17[[#This Row],[Colonne1]],Tableau124[#All],13,FALSE)</f>
        <v xml:space="preserve">- intervention auprès de public majeur ; 
- accueille également des patients pour des sevrages simples </v>
      </c>
    </row>
    <row r="24" spans="2:14" ht="86.45" customHeight="1">
      <c r="B24" s="164">
        <v>220</v>
      </c>
      <c r="C24" s="214" t="str">
        <f>VLOOKUP(Tableau17[[#This Row],[Colonne1]],Tableau124[#All],2,FALSE)</f>
        <v>Yonne (89)</v>
      </c>
      <c r="D24" s="214" t="str">
        <f>VLOOKUP(Tableau17[[#This Row],[Colonne1]],Tableau124[#All],3,FALSE)</f>
        <v>Auxerre</v>
      </c>
      <c r="E24" s="214">
        <f>VLOOKUP(Tableau17[[#This Row],[Colonne1]],Tableau124[#All],4,FALSE)</f>
        <v>89000</v>
      </c>
      <c r="F24" s="214" t="str">
        <f>VLOOKUP(Tableau17[[#This Row],[Colonne1]],Tableau124[#All],5,FALSE)</f>
        <v>4 Av. Pierre Scherrer</v>
      </c>
      <c r="G24" s="215" t="str">
        <f>VLOOKUP(Tableau17[[#This Row],[Colonne1]],Tableau124[#All],6,FALSE)</f>
        <v>Unité d'hospitalisation de jour</v>
      </c>
      <c r="H24" s="214" t="str">
        <f>VLOOKUP(Tableau17[[#This Row],[Colonne1]],Tableau124[#All],7,FALSE)</f>
        <v>CHS Yonne</v>
      </c>
      <c r="I24" s="214" t="str">
        <f>VLOOKUP(Tableau17[[#This Row],[Colonne1]],Tableau124[#All],8,FALSE)</f>
        <v>Public</v>
      </c>
      <c r="J24" s="355" t="str">
        <f>VLOOKUP(Tableau17[[#This Row],[Colonne1]],Tableau124[#All],9,FALSE)</f>
        <v>secteur3@chs-yonne.fr</v>
      </c>
      <c r="K24" s="376" t="str">
        <f>VLOOKUP(Tableau17[[#This Row],[Colonne1]],Tableau124[#All],10,FALSE)</f>
        <v>03 86 94 38 10 secrétariat Addictologie)</v>
      </c>
      <c r="L24" s="356" t="str">
        <f>VLOOKUP(Tableau17[[#This Row],[Colonne1]],Tableau124[#All],11,FALSE)</f>
        <v>http://www.chs-yonne.fr/</v>
      </c>
      <c r="M24" s="214" t="str">
        <f>VLOOKUP(Tableau17[[#This Row],[Colonne1]],Tableau124[#All],12,FALSE)</f>
        <v>du lundi au vendredi de 09:00 à 16:30</v>
      </c>
      <c r="N24" s="624" t="str">
        <f>VLOOKUP(Tableau17[[#This Row],[Colonne1]],Tableau124[#All],13,FALSE)</f>
        <v>- intervention auprès d'un public majeur</v>
      </c>
    </row>
    <row r="25" spans="2:14" ht="86.45" customHeight="1">
      <c r="B25" s="164">
        <v>247</v>
      </c>
      <c r="C25" s="444" t="str">
        <f>VLOOKUP(Tableau17[[#This Row],[Colonne1]],Tableau124[#All],2,FALSE)</f>
        <v>Yonne (89)</v>
      </c>
      <c r="D25" s="417" t="str">
        <f>VLOOKUP(Tableau17[[#This Row],[Colonne1]],Tableau124[#All],3,FALSE)</f>
        <v>Champigny sur Yonne</v>
      </c>
      <c r="E25" s="417">
        <f>VLOOKUP(Tableau17[[#This Row],[Colonne1]],Tableau124[#All],4,FALSE)</f>
        <v>89340</v>
      </c>
      <c r="F25" s="417" t="str">
        <f>VLOOKUP(Tableau17[[#This Row],[Colonne1]],Tableau124[#All],5,FALSE)</f>
        <v>Route départementale 70</v>
      </c>
      <c r="G25" s="417" t="str">
        <f>VLOOKUP(Tableau17[[#This Row],[Colonne1]],Tableau124[#All],6,FALSE)</f>
        <v>Consultations Hospitalières externes d'addictologie</v>
      </c>
      <c r="H25" s="417" t="str">
        <f>VLOOKUP(Tableau17[[#This Row],[Colonne1]],Tableau124[#All],7,FALSE)</f>
        <v>Clinique Ker Yonnec</v>
      </c>
      <c r="I25" s="417" t="str">
        <f>VLOOKUP(Tableau17[[#This Row],[Colonne1]],Tableau124[#All],8,FALSE)</f>
        <v>Privé à but lucratif</v>
      </c>
      <c r="J25" s="626" t="str">
        <f>VLOOKUP(Tableau17[[#This Row],[Colonne1]],Tableau124[#All],9,FALSE)</f>
        <v xml:space="preserve"> accueil@keryonnec.com</v>
      </c>
      <c r="K25" s="419" t="str">
        <f>VLOOKUP(Tableau17[[#This Row],[Colonne1]],Tableau124[#All],10,FALSE)</f>
        <v xml:space="preserve">03 86 66 66 66 </v>
      </c>
      <c r="L25" s="458" t="str">
        <f>VLOOKUP(Tableau17[[#This Row],[Colonne1]],Tableau124[#All],11,FALSE)</f>
        <v>https://keryonnec.com/</v>
      </c>
      <c r="M25" s="258"/>
      <c r="N25" s="396"/>
    </row>
    <row r="26" spans="2:14" ht="86.45" customHeight="1">
      <c r="B26" s="164">
        <v>246</v>
      </c>
      <c r="C26" s="459" t="str">
        <f>VLOOKUP(Tableau17[[#This Row],[Colonne1]],Tableau124[#All],2,FALSE)</f>
        <v>Yonne (89)</v>
      </c>
      <c r="D26" s="625" t="str">
        <f>VLOOKUP(Tableau17[[#This Row],[Colonne1]],Tableau124[#All],3,FALSE)</f>
        <v>Champigny sur Yonne</v>
      </c>
      <c r="E26" s="625">
        <f>VLOOKUP(Tableau17[[#This Row],[Colonne1]],Tableau124[#All],4,FALSE)</f>
        <v>89340</v>
      </c>
      <c r="F26" s="625" t="str">
        <f>VLOOKUP(Tableau17[[#This Row],[Colonne1]],Tableau124[#All],5,FALSE)</f>
        <v>Route départementale 70</v>
      </c>
      <c r="G26" s="625" t="str">
        <f>VLOOKUP(Tableau17[[#This Row],[Colonne1]],Tableau124[#All],6,FALSE)</f>
        <v>Sevrage simple</v>
      </c>
      <c r="H26" s="625" t="str">
        <f>VLOOKUP(Tableau17[[#This Row],[Colonne1]],Tableau124[#All],7,FALSE)</f>
        <v>Clinique Ker Yonnec</v>
      </c>
      <c r="I26" s="625" t="str">
        <f>VLOOKUP(Tableau17[[#This Row],[Colonne1]],Tableau124[#All],8,FALSE)</f>
        <v>Privé à but lucratif</v>
      </c>
      <c r="J26" s="627" t="str">
        <f>VLOOKUP(Tableau17[[#This Row],[Colonne1]],Tableau124[#All],9,FALSE)</f>
        <v xml:space="preserve"> accueil@keryonnec.com</v>
      </c>
      <c r="K26" s="628" t="str">
        <f>VLOOKUP(Tableau17[[#This Row],[Colonne1]],Tableau124[#All],10,FALSE)</f>
        <v>03 86 66 66 66</v>
      </c>
      <c r="L26" s="460" t="str">
        <f>VLOOKUP(Tableau17[[#This Row],[Colonne1]],Tableau124[#All],11,FALSE)</f>
        <v>https://keryonnec.com/</v>
      </c>
      <c r="M26" s="258"/>
      <c r="N26" s="631" t="str">
        <f>VLOOKUP(Tableau17[[#This Row],[Colonne1]],Tableau124[#All],13,FALSE)</f>
        <v>Prise en charge de personnes majeures 
Les lits d'hospitalisation pour sevrage simple sont difféminés dans différentes unités hospitalières</v>
      </c>
    </row>
    <row r="27" spans="2:14" ht="86.45" customHeight="1">
      <c r="B27" s="164">
        <v>230</v>
      </c>
      <c r="C27" s="221" t="str">
        <f>VLOOKUP(Tableau17[[#This Row],[Colonne1]],Tableau124[#All],2,FALSE)</f>
        <v>Yonne (89)</v>
      </c>
      <c r="D27" s="101" t="str">
        <f>VLOOKUP(Tableau17[[#This Row],[Colonne1]],Tableau124[#All],3,FALSE)</f>
        <v>Migennes</v>
      </c>
      <c r="E27" s="101">
        <f>VLOOKUP(Tableau17[[#This Row],[Colonne1]],Tableau124[#All],4,FALSE)</f>
        <v>89400</v>
      </c>
      <c r="F27" s="101" t="str">
        <f>VLOOKUP(Tableau17[[#This Row],[Colonne1]],Tableau124[#All],5,FALSE)</f>
        <v>CHRS Migennes - 29 Av. des Cosmonautes</v>
      </c>
      <c r="G27" s="101" t="str">
        <f>VLOOKUP(Tableau17[[#This Row],[Colonne1]],Tableau124[#All],6,FALSE)</f>
        <v>CSAPA</v>
      </c>
      <c r="H27" s="101" t="str">
        <f>VLOOKUP(Tableau17[[#This Row],[Colonne1]],Tableau124[#All],7,FALSE)</f>
        <v>CSAPA</v>
      </c>
      <c r="I27" s="101" t="str">
        <f>VLOOKUP(Tableau17[[#This Row],[Colonne1]],Tableau124[#All],8,FALSE)</f>
        <v>Public</v>
      </c>
      <c r="J27" s="258" t="str">
        <f>VLOOKUP(Tableau17[[#This Row],[Colonne1]],Tableau124[#All],9,FALSE)</f>
        <v xml:space="preserve"> </v>
      </c>
      <c r="K27" s="238" t="str">
        <f>VLOOKUP(Tableau17[[#This Row],[Colonne1]],Tableau124[#All],10,FALSE)</f>
        <v>03 86 51 46 99</v>
      </c>
      <c r="L27" s="257"/>
      <c r="M27" s="101" t="str">
        <f>VLOOKUP(Tableau17[[#This Row],[Colonne1]],Tableau124[#All],12,FALSE)</f>
        <v>Vendredi 9h à 12h30 et 13h30 à 17h</v>
      </c>
      <c r="N27" s="396" t="str">
        <f>VLOOKUP(Tableau17[[#This Row],[Colonne1]],Tableau124[#All],13,FALSE)</f>
        <v xml:space="preserve">  </v>
      </c>
    </row>
    <row r="28" spans="2:14" ht="86.45" customHeight="1">
      <c r="B28" s="164">
        <v>213</v>
      </c>
      <c r="C28" s="156" t="str">
        <f>VLOOKUP(Tableau17[[#This Row],[Colonne1]],Tableau124[#All],2,FALSE)</f>
        <v>Yonne (89)</v>
      </c>
      <c r="D28" s="156" t="str">
        <f>VLOOKUP(Tableau17[[#This Row],[Colonne1]],Tableau124[#All],3,FALSE)</f>
        <v>Auxerre</v>
      </c>
      <c r="E28" s="156" t="str">
        <f>VLOOKUP(Tableau17[[#This Row],[Colonne1]],Tableau124[#All],4,FALSE)</f>
        <v>89000</v>
      </c>
      <c r="F28" s="156" t="str">
        <f>VLOOKUP(Tableau17[[#This Row],[Colonne1]],Tableau124[#All],5,FALSE)</f>
        <v>8 Rue Colonel Rozanoff</v>
      </c>
      <c r="G28" s="156" t="str">
        <f>VLOOKUP(Tableau17[[#This Row],[Colonne1]],Tableau124[#All],6,FALSE)</f>
        <v>CSAPA</v>
      </c>
      <c r="H28" s="156" t="str">
        <f>VLOOKUP(Tableau17[[#This Row],[Colonne1]],Tableau124[#All],7,FALSE)</f>
        <v>CSAPA - Association Addictions France</v>
      </c>
      <c r="I28" s="156" t="str">
        <f>VLOOKUP(Tableau17[[#This Row],[Colonne1]],Tableau124[#All],8,FALSE)</f>
        <v>Associatif</v>
      </c>
      <c r="J28" s="317" t="str">
        <f>VLOOKUP(Tableau17[[#This Row],[Colonne1]],Tableau124[#All],9,FALSE)</f>
        <v>bfc89@addictions-france.org</v>
      </c>
      <c r="K28" s="244" t="str">
        <f>VLOOKUP(Tableau17[[#This Row],[Colonne1]],Tableau124[#All],10,FALSE)</f>
        <v>03.86.51.46.99</v>
      </c>
      <c r="L28" s="317" t="str">
        <f>VLOOKUP(Tableau17[[#This Row],[Colonne1]],Tableau124[#All],11,FALSE)</f>
        <v>www.addictions-france.org</v>
      </c>
      <c r="M28" s="105" t="str">
        <f>VLOOKUP(Tableau17[[#This Row],[Colonne1]],Tableau124[#All],12,FALSE)</f>
        <v>Lundi 9h-13h / 13h30-18h
Mardi 8h30-13h / 13h30-19h
Mercredi 8h30-13h / 13h30-18h
Jeudi 9h-13h / 13h30-19h
Vendredi 8h30-13h / 13h30-16h30</v>
      </c>
      <c r="N28" s="453" t="str">
        <f>VLOOKUP(Tableau17[[#This Row],[Colonne1]],Tableau124[#All],13,FALSE)</f>
        <v>Permanences présentes à Migennes, Saint Florentin, Tonnerre, Toucy, Saint Sauveur, Charny, Bléneau)
- intervention en milieu pénitentiaire à la maison d'arrêt d'Auxerre et au Centre de détention de Joux-la-Ville ;
- mise à disposition de matériel de consommation à moindre risque ;
- proposition de test rapide d'orientation diagnostic (TROD) ; 
- dispositifs anti-overdose à disposition ; 
- présence d'une CJC.
CJC Avancées qui dépendent du CSAPA d'Auxerre : Lycée Louis Davier (Joigny), EREA Jules Verne (Joigny) Collège marie Noel (Joigny), Collège Jacques Prévert (Migennes), Collège Philippe Cousteau (Brienon), Cité scolaire Pierre Larousse (Toucy), Collège Jean-Roch (Courson les carrières), Collège de Puisaye (St Fargeau), Collège Colette (St Sauveur en Puisaye), MFR Toucy, Collège Michel Gondry (Charny)</v>
      </c>
    </row>
    <row r="29" spans="2:14" ht="86.45" customHeight="1">
      <c r="B29" s="164">
        <v>233</v>
      </c>
      <c r="C29" s="221" t="str">
        <f>VLOOKUP(Tableau17[[#This Row],[Colonne1]],Tableau124[#All],2,FALSE)</f>
        <v>Yonne (89)</v>
      </c>
      <c r="D29" s="156" t="str">
        <f>VLOOKUP(Tableau17[[#This Row],[Colonne1]],Tableau124[#All],3,FALSE)</f>
        <v>Sens</v>
      </c>
      <c r="E29" s="156">
        <f>VLOOKUP(Tableau17[[#This Row],[Colonne1]],Tableau124[#All],4,FALSE)</f>
        <v>89100</v>
      </c>
      <c r="F29" s="156" t="str">
        <f>VLOOKUP(Tableau17[[#This Row],[Colonne1]],Tableau124[#All],5,FALSE)</f>
        <v>43 rue du 19 mars 1962</v>
      </c>
      <c r="G29" s="156" t="str">
        <f>VLOOKUP(Tableau17[[#This Row],[Colonne1]],Tableau124[#All],6,FALSE)</f>
        <v>Antenne CSAPA</v>
      </c>
      <c r="H29" s="156" t="str">
        <f>VLOOKUP(Tableau17[[#This Row],[Colonne1]],Tableau124[#All],7,FALSE)</f>
        <v>CSAPA - Association Addictions France</v>
      </c>
      <c r="I29" s="156" t="str">
        <f>VLOOKUP(Tableau17[[#This Row],[Colonne1]],Tableau124[#All],8,FALSE)</f>
        <v>Associatif</v>
      </c>
      <c r="J29" s="318" t="str">
        <f>VLOOKUP(Tableau17[[#This Row],[Colonne1]],Tableau124[#All],9,FALSE)</f>
        <v>csapa.sens@addictions-france.org</v>
      </c>
      <c r="K29" s="238" t="str">
        <f>VLOOKUP(Tableau17[[#This Row],[Colonne1]],Tableau124[#All],10,FALSE)</f>
        <v>03.86.95.10.71</v>
      </c>
      <c r="L29" s="325" t="str">
        <f>VLOOKUP(Tableau17[[#This Row],[Colonne1]],Tableau124[#All],11,FALSE)</f>
        <v xml:space="preserve"> </v>
      </c>
      <c r="M29" s="101" t="str">
        <f>VLOOKUP(Tableau17[[#This Row],[Colonne1]],Tableau124[#All],12,FALSE)</f>
        <v>Lundi 9h-13h / 14h-17h Mardi 9h-13h / 14h-18h Mercredi 9h-13h / 13h30-17h Jeudi 9h-13h / 14h-19h Vendredi 9h-13h / 14h-17h</v>
      </c>
      <c r="N29" s="389" t="str">
        <f>VLOOKUP(Tableau17[[#This Row],[Colonne1]],Tableau124[#All],13,FALSE)</f>
        <v>lieux de permanences : Villeneuve/Yonne et Joigny 
Lycée Janot Curie (Sens), Collège des Champs Plaisants (Sens), Collège Montpezat (Sens), Collège Mallarmé (Sens), Collège Chateaubriand (Villeneuve/Yonne), Collège "André Malraux" (Paron) et Collège Restif de la Bretonne (Pont/Yonne)</v>
      </c>
    </row>
    <row r="30" spans="2:14" ht="86.45" customHeight="1">
      <c r="B30" s="164">
        <v>223</v>
      </c>
      <c r="C30" s="156" t="str">
        <f>VLOOKUP(Tableau17[[#This Row],[Colonne1]],Tableau124[#All],2,FALSE)</f>
        <v>Yonne (89)</v>
      </c>
      <c r="D30" s="156" t="str">
        <f>VLOOKUP(Tableau17[[#This Row],[Colonne1]],Tableau124[#All],3,FALSE)</f>
        <v>Avallon</v>
      </c>
      <c r="E30" s="156">
        <f>VLOOKUP(Tableau17[[#This Row],[Colonne1]],Tableau124[#All],4,FALSE)</f>
        <v>89200</v>
      </c>
      <c r="F30" s="156" t="str">
        <f>VLOOKUP(Tableau17[[#This Row],[Colonne1]],Tableau124[#All],5,FALSE)</f>
        <v>Centre hospitalier, Centre de périnatalité : 1 rue de l'Hôpital 89200 Avallon</v>
      </c>
      <c r="G30" s="156" t="str">
        <f>VLOOKUP(Tableau17[[#This Row],[Colonne1]],Tableau124[#All],6,FALSE)</f>
        <v>CSAPA (consultations avancées)</v>
      </c>
      <c r="H30" s="156" t="str">
        <f>VLOOKUP(Tableau17[[#This Row],[Colonne1]],Tableau124[#All],7,FALSE)</f>
        <v>Association Addictions France</v>
      </c>
      <c r="I30" s="156" t="str">
        <f>VLOOKUP(Tableau17[[#This Row],[Colonne1]],Tableau124[#All],8,FALSE)</f>
        <v>Associatif</v>
      </c>
      <c r="J30" s="317" t="str">
        <f>VLOOKUP(Tableau17[[#This Row],[Colonne1]],Tableau124[#All],9,FALSE)</f>
        <v>csapa.dijon@addictions-france.org</v>
      </c>
      <c r="K30" s="238" t="str">
        <f>VLOOKUP(Tableau17[[#This Row],[Colonne1]],Tableau124[#All],10,FALSE)</f>
        <v>03 80 73 26 32</v>
      </c>
      <c r="L30" s="318" t="str">
        <f>VLOOKUP(Tableau17[[#This Row],[Colonne1]],Tableau124[#All],11,FALSE)</f>
        <v>www.addictions-france.org</v>
      </c>
      <c r="M30" s="101" t="str">
        <f>VLOOKUP(Tableau17[[#This Row],[Colonne1]],Tableau124[#All],12,FALSE)</f>
        <v>Mardi 9h 17h30 / Vendredi : 9h 17h00 en fonction des RV</v>
      </c>
      <c r="N30" s="426" t="str">
        <f>VLOOKUP(Tableau17[[#This Row],[Colonne1]],Tableau124[#All],13,FALSE)</f>
        <v xml:space="preserve">  </v>
      </c>
    </row>
    <row r="31" spans="2:14" ht="86.45" customHeight="1">
      <c r="B31" s="164">
        <v>222</v>
      </c>
      <c r="C31" s="156" t="str">
        <f>VLOOKUP(Tableau17[[#This Row],[Colonne1]],Tableau124[#All],2,FALSE)</f>
        <v>Yonne (89)</v>
      </c>
      <c r="D31" s="156" t="str">
        <f>VLOOKUP(Tableau17[[#This Row],[Colonne1]],Tableau124[#All],3,FALSE)</f>
        <v>Avallon</v>
      </c>
      <c r="E31" s="156">
        <f>VLOOKUP(Tableau17[[#This Row],[Colonne1]],Tableau124[#All],4,FALSE)</f>
        <v>89200</v>
      </c>
      <c r="F31" s="156" t="str">
        <f>VLOOKUP(Tableau17[[#This Row],[Colonne1]],Tableau124[#All],5,FALSE)</f>
        <v>Centre hospitalier, 1 Rue de l'Hôpital 89200 Avallon</v>
      </c>
      <c r="G31" s="156" t="str">
        <f>VLOOKUP(Tableau17[[#This Row],[Colonne1]],Tableau124[#All],6,FALSE)</f>
        <v>CSAPA (consultations avancées)</v>
      </c>
      <c r="H31" s="156" t="str">
        <f>VLOOKUP(Tableau17[[#This Row],[Colonne1]],Tableau124[#All],7,FALSE)</f>
        <v xml:space="preserve">Association Addictions France </v>
      </c>
      <c r="I31" s="156" t="str">
        <f>VLOOKUP(Tableau17[[#This Row],[Colonne1]],Tableau124[#All],8,FALSE)</f>
        <v>Associatif</v>
      </c>
      <c r="J31" s="318" t="str">
        <f>VLOOKUP(Tableau17[[#This Row],[Colonne1]],Tableau124[#All],9,FALSE)</f>
        <v>csapa.dijon@addictions-france.org</v>
      </c>
      <c r="K31" s="238" t="str">
        <f>VLOOKUP(Tableau17[[#This Row],[Colonne1]],Tableau124[#All],10,FALSE)</f>
        <v>03 80 73 26 32</v>
      </c>
      <c r="L31" s="317" t="str">
        <f>VLOOKUP(Tableau17[[#This Row],[Colonne1]],Tableau124[#All],11,FALSE)</f>
        <v>www.addictions-france.org</v>
      </c>
      <c r="M31" s="101" t="str">
        <f>VLOOKUP(Tableau17[[#This Row],[Colonne1]],Tableau124[#All],12,FALSE)</f>
        <v>Mardi 9h 17h30  / Vendredi : 9h 17h00</v>
      </c>
      <c r="N31" s="426" t="str">
        <f>VLOOKUP(Tableau17[[#This Row],[Colonne1]],Tableau124[#All],13,FALSE)</f>
        <v xml:space="preserve">  </v>
      </c>
    </row>
    <row r="32" spans="2:14" ht="86.45" customHeight="1">
      <c r="B32" s="164">
        <v>214</v>
      </c>
      <c r="C32" s="221" t="str">
        <f>VLOOKUP(Tableau17[[#This Row],[Colonne1]],Tableau124[#All],2,FALSE)</f>
        <v>Yonne (89)</v>
      </c>
      <c r="D32" s="221" t="str">
        <f>VLOOKUP(Tableau17[[#This Row],[Colonne1]],Tableau124[#All],3,FALSE)</f>
        <v>Auxerre</v>
      </c>
      <c r="E32" s="221">
        <f>VLOOKUP(Tableau17[[#This Row],[Colonne1]],Tableau124[#All],4,FALSE)</f>
        <v>89000</v>
      </c>
      <c r="F32" s="221" t="str">
        <f>VLOOKUP(Tableau17[[#This Row],[Colonne1]],Tableau124[#All],5,FALSE)</f>
        <v>CHRS 4 rue Thomas Ancel</v>
      </c>
      <c r="G32" s="156" t="str">
        <f>VLOOKUP(Tableau17[[#This Row],[Colonne1]],Tableau124[#All],6,FALSE)</f>
        <v>CSAPA (consultations avancées)</v>
      </c>
      <c r="H32" s="156" t="str">
        <f>VLOOKUP(Tableau17[[#This Row],[Colonne1]],Tableau124[#All],7,FALSE)</f>
        <v>CSAPA - Association Addictions France - consultations avancées</v>
      </c>
      <c r="I32" s="156" t="str">
        <f>VLOOKUP(Tableau17[[#This Row],[Colonne1]],Tableau124[#All],8,FALSE)</f>
        <v>Associatif</v>
      </c>
      <c r="J32" s="319" t="str">
        <f>VLOOKUP(Tableau17[[#This Row],[Colonne1]],Tableau124[#All],9,FALSE)</f>
        <v>bfc89@addictions-france.org</v>
      </c>
      <c r="K32" s="251" t="str">
        <f>VLOOKUP(Tableau17[[#This Row],[Colonne1]],Tableau124[#All],10,FALSE)</f>
        <v>03.86.51.46.100</v>
      </c>
      <c r="L32" s="319" t="str">
        <f>VLOOKUP(Tableau17[[#This Row],[Colonne1]],Tableau124[#All],11,FALSE)</f>
        <v>www.addictions-france.org</v>
      </c>
      <c r="M32" s="221" t="str">
        <f>VLOOKUP(Tableau17[[#This Row],[Colonne1]],Tableau124[#All],12,FALSE)</f>
        <v>1 mardi matin sur 2 de 9h à 13h</v>
      </c>
      <c r="N32" s="389" t="str">
        <f>VLOOKUP(Tableau17[[#This Row],[Colonne1]],Tableau124[#All],13,FALSE)</f>
        <v>Réalisation de consultations avancées</v>
      </c>
    </row>
    <row r="33" spans="2:14" ht="86.45" customHeight="1">
      <c r="B33" s="164">
        <v>231</v>
      </c>
      <c r="C33" s="221" t="str">
        <f>VLOOKUP(Tableau17[[#This Row],[Colonne1]],Tableau124[#All],2,FALSE)</f>
        <v>Yonne (89)</v>
      </c>
      <c r="D33" s="221" t="str">
        <f>VLOOKUP(Tableau17[[#This Row],[Colonne1]],Tableau124[#All],3,FALSE)</f>
        <v>Migennes</v>
      </c>
      <c r="E33" s="221">
        <f>VLOOKUP(Tableau17[[#This Row],[Colonne1]],Tableau124[#All],4,FALSE)</f>
        <v>89400</v>
      </c>
      <c r="F33" s="221" t="str">
        <f>VLOOKUP(Tableau17[[#This Row],[Colonne1]],Tableau124[#All],5,FALSE)</f>
        <v>CHRS 29 Avenue des Cosmonautes</v>
      </c>
      <c r="G33" s="221" t="str">
        <f>VLOOKUP(Tableau17[[#This Row],[Colonne1]],Tableau124[#All],6,FALSE)</f>
        <v>CSAPA (consultations avancées)</v>
      </c>
      <c r="H33" s="394" t="str">
        <f>VLOOKUP(Tableau17[[#This Row],[Colonne1]],Tableau124[#All],7,FALSE)</f>
        <v>CSAPA - Association Addictions France - consultations avancées</v>
      </c>
      <c r="I33" s="221" t="str">
        <f>VLOOKUP(Tableau17[[#This Row],[Colonne1]],Tableau124[#All],8,FALSE)</f>
        <v>Associatif</v>
      </c>
      <c r="J33" s="319" t="str">
        <f>VLOOKUP(Tableau17[[#This Row],[Colonne1]],Tableau124[#All],9,FALSE)</f>
        <v>bfc89@addictions-france.org</v>
      </c>
      <c r="K33" s="251" t="str">
        <f>VLOOKUP(Tableau17[[#This Row],[Colonne1]],Tableau124[#All],10,FALSE)</f>
        <v>03.86.51.46.102</v>
      </c>
      <c r="L33" s="317" t="str">
        <f>VLOOKUP(Tableau17[[#This Row],[Colonne1]],Tableau124[#All],11,FALSE)</f>
        <v>www.addictions-france.org</v>
      </c>
      <c r="M33" s="156" t="str">
        <f>VLOOKUP(Tableau17[[#This Row],[Colonne1]],Tableau124[#All],12,FALSE)</f>
        <v>1 mardi après-midi sur 2 de 14h à 17h</v>
      </c>
      <c r="N33" s="454" t="str">
        <f>VLOOKUP(Tableau17[[#This Row],[Colonne1]],Tableau124[#All],13,FALSE)</f>
        <v>Réalisation de consultations avancées</v>
      </c>
    </row>
    <row r="34" spans="2:14" ht="86.45" customHeight="1">
      <c r="B34" s="164">
        <v>235</v>
      </c>
      <c r="C34" s="221" t="str">
        <f>VLOOKUP(Tableau17[[#This Row],[Colonne1]],Tableau124[#All],2,FALSE)</f>
        <v>Yonne (89)</v>
      </c>
      <c r="D34" s="105" t="str">
        <f>VLOOKUP(Tableau17[[#This Row],[Colonne1]],Tableau124[#All],3,FALSE)</f>
        <v>Sens</v>
      </c>
      <c r="E34" s="105">
        <f>VLOOKUP(Tableau17[[#This Row],[Colonne1]],Tableau124[#All],4,FALSE)</f>
        <v>89100</v>
      </c>
      <c r="F34" s="105" t="str">
        <f>VLOOKUP(Tableau17[[#This Row],[Colonne1]],Tableau124[#All],5,FALSE)</f>
        <v>CHRS Sens - 61 Bd du 14 Juillet</v>
      </c>
      <c r="G34" s="105" t="str">
        <f>VLOOKUP(Tableau17[[#This Row],[Colonne1]],Tableau124[#All],6,FALSE)</f>
        <v>CSAPA (consultations avancées)</v>
      </c>
      <c r="H34" s="105" t="str">
        <f>VLOOKUP(Tableau17[[#This Row],[Colonne1]],Tableau124[#All],7,FALSE)</f>
        <v>CSAPA - Association Addictions France - consultations avancées</v>
      </c>
      <c r="I34" s="105" t="str">
        <f>VLOOKUP(Tableau17[[#This Row],[Colonne1]],Tableau124[#All],8,FALSE)</f>
        <v>Associatif</v>
      </c>
      <c r="J34" s="317" t="str">
        <f>VLOOKUP(Tableau17[[#This Row],[Colonne1]],Tableau124[#All],9,FALSE)</f>
        <v>csapa.sens@addictions-france.org</v>
      </c>
      <c r="K34" s="244" t="str">
        <f>VLOOKUP(Tableau17[[#This Row],[Colonne1]],Tableau124[#All],10,FALSE)</f>
        <v xml:space="preserve"> 03 86 95 10 71</v>
      </c>
      <c r="L34" s="257" t="str">
        <f>VLOOKUP(Tableau17[[#This Row],[Colonne1]],Tableau124[#All],11,FALSE)</f>
        <v xml:space="preserve"> </v>
      </c>
      <c r="M34" s="105" t="str">
        <f>VLOOKUP(Tableau17[[#This Row],[Colonne1]],Tableau124[#All],12,FALSE)</f>
        <v>1 lundi matin sur 2</v>
      </c>
      <c r="N34" s="632" t="str">
        <f>VLOOKUP(Tableau17[[#This Row],[Colonne1]],Tableau124[#All],13,FALSE)</f>
        <v xml:space="preserve">  </v>
      </c>
    </row>
    <row r="35" spans="2:14" ht="86.45" customHeight="1">
      <c r="B35" s="164">
        <v>236</v>
      </c>
      <c r="C35" s="221" t="str">
        <f>VLOOKUP(Tableau17[[#This Row],[Colonne1]],Tableau124[#All],2,FALSE)</f>
        <v>Yonne (89)</v>
      </c>
      <c r="D35" s="221" t="str">
        <f>VLOOKUP(Tableau17[[#This Row],[Colonne1]],Tableau124[#All],3,FALSE)</f>
        <v>Sens</v>
      </c>
      <c r="E35" s="221">
        <f>VLOOKUP(Tableau17[[#This Row],[Colonne1]],Tableau124[#All],4,FALSE)</f>
        <v>89100</v>
      </c>
      <c r="F35" s="221" t="str">
        <f>VLOOKUP(Tableau17[[#This Row],[Colonne1]],Tableau124[#All],5,FALSE)</f>
        <v>Centre Hospitalier 1 Avenue Pierre de Coubertin</v>
      </c>
      <c r="G35" s="221" t="str">
        <f>VLOOKUP(Tableau17[[#This Row],[Colonne1]],Tableau124[#All],6,FALSE)</f>
        <v>CSAPA (consultations avancées)</v>
      </c>
      <c r="H35" s="221" t="str">
        <f>VLOOKUP(Tableau17[[#This Row],[Colonne1]],Tableau124[#All],7,FALSE)</f>
        <v>CSAPA - Association Addictions France - consultations avancées</v>
      </c>
      <c r="I35" s="221" t="str">
        <f>VLOOKUP(Tableau17[[#This Row],[Colonne1]],Tableau124[#All],8,FALSE)</f>
        <v>Associatif</v>
      </c>
      <c r="J35" s="317" t="str">
        <f>VLOOKUP(Tableau17[[#This Row],[Colonne1]],Tableau124[#All],9,FALSE)</f>
        <v>bfc89@addictions-france.org</v>
      </c>
      <c r="K35" s="244" t="str">
        <f>VLOOKUP(Tableau17[[#This Row],[Colonne1]],Tableau124[#All],10,FALSE)</f>
        <v>03 86 92 33 33</v>
      </c>
      <c r="L35" s="317" t="str">
        <f>VLOOKUP(Tableau17[[#This Row],[Colonne1]],Tableau124[#All],11,FALSE)</f>
        <v>www.addictions-france.org</v>
      </c>
      <c r="M35" s="105" t="str">
        <f>VLOOKUP(Tableau17[[#This Row],[Colonne1]],Tableau124[#All],12,FALSE)</f>
        <v>le mercredi  de 9h à 12h30</v>
      </c>
      <c r="N35" s="629" t="str">
        <f>VLOOKUP(Tableau17[[#This Row],[Colonne1]],Tableau124[#All],13,FALSE)</f>
        <v>Réalisation de consultations avancées</v>
      </c>
    </row>
    <row r="36" spans="2:14" ht="86.45" customHeight="1">
      <c r="B36" s="164">
        <v>237</v>
      </c>
      <c r="C36" s="156" t="str">
        <f>VLOOKUP(Tableau17[[#This Row],[Colonne1]],Tableau124[#All],2,FALSE)</f>
        <v>Yonne (89)</v>
      </c>
      <c r="D36" s="156" t="str">
        <f>VLOOKUP(Tableau17[[#This Row],[Colonne1]],Tableau124[#All],3,FALSE)</f>
        <v>Sens</v>
      </c>
      <c r="E36" s="156">
        <f>VLOOKUP(Tableau17[[#This Row],[Colonne1]],Tableau124[#All],4,FALSE)</f>
        <v>89100</v>
      </c>
      <c r="F36" s="156" t="str">
        <f>VLOOKUP(Tableau17[[#This Row],[Colonne1]],Tableau124[#All],5,FALSE)</f>
        <v>CHRS 61 Boulevard du 14 juillet</v>
      </c>
      <c r="G36" s="156" t="str">
        <f>VLOOKUP(Tableau17[[#This Row],[Colonne1]],Tableau124[#All],6,FALSE)</f>
        <v>CSAPA (consultations avancées)</v>
      </c>
      <c r="H36" s="156" t="str">
        <f>VLOOKUP(Tableau17[[#This Row],[Colonne1]],Tableau124[#All],7,FALSE)</f>
        <v>CSAPA - Association Addictions France - consultations avancées</v>
      </c>
      <c r="I36" s="156" t="str">
        <f>VLOOKUP(Tableau17[[#This Row],[Colonne1]],Tableau124[#All],8,FALSE)</f>
        <v>Associatif</v>
      </c>
      <c r="J36" s="322" t="str">
        <f>VLOOKUP(Tableau17[[#This Row],[Colonne1]],Tableau124[#All],9,FALSE)</f>
        <v>bfc89@addictions-france.org</v>
      </c>
      <c r="K36" s="243" t="str">
        <f>VLOOKUP(Tableau17[[#This Row],[Colonne1]],Tableau124[#All],10,FALSE)</f>
        <v>03.86.51.46.101</v>
      </c>
      <c r="L36" s="318" t="str">
        <f>VLOOKUP(Tableau17[[#This Row],[Colonne1]],Tableau124[#All],11,FALSE)</f>
        <v>www.addictions-france.org</v>
      </c>
      <c r="M36" s="156" t="str">
        <f>VLOOKUP(Tableau17[[#This Row],[Colonne1]],Tableau124[#All],12,FALSE)</f>
        <v>1 lundi sur 2 de 9h30 à 15h</v>
      </c>
      <c r="N36" s="156" t="str">
        <f>VLOOKUP(Tableau17[[#This Row],[Colonne1]],Tableau124[#All],13,FALSE)</f>
        <v>Réalisation de consultations avancées</v>
      </c>
    </row>
    <row r="37" spans="2:14" ht="86.45" customHeight="1">
      <c r="B37" s="164">
        <v>240</v>
      </c>
      <c r="C37" s="156" t="str">
        <f>VLOOKUP(Tableau17[[#This Row],[Colonne1]],Tableau124[#All],2,FALSE)</f>
        <v>Yonne (89)</v>
      </c>
      <c r="D37" s="156" t="str">
        <f>VLOOKUP(Tableau17[[#This Row],[Colonne1]],Tableau124[#All],3,FALSE)</f>
        <v>Tonnerre</v>
      </c>
      <c r="E37" s="156">
        <f>VLOOKUP(Tableau17[[#This Row],[Colonne1]],Tableau124[#All],4,FALSE)</f>
        <v>89700</v>
      </c>
      <c r="F37" s="156" t="str">
        <f>VLOOKUP(Tableau17[[#This Row],[Colonne1]],Tableau124[#All],5,FALSE)</f>
        <v>Centre Périnatal de Proximité Rue Jumériaux</v>
      </c>
      <c r="G37" s="156" t="str">
        <f>VLOOKUP(Tableau17[[#This Row],[Colonne1]],Tableau124[#All],6,FALSE)</f>
        <v>CSAPA (consultations avancées)</v>
      </c>
      <c r="H37" s="156" t="str">
        <f>VLOOKUP(Tableau17[[#This Row],[Colonne1]],Tableau124[#All],7,FALSE)</f>
        <v>CSAPA - Association Addictions France - consultations avancées -  Centre de Périnatalité de Proximité de Tonnerre</v>
      </c>
      <c r="I37" s="156" t="str">
        <f>VLOOKUP(Tableau17[[#This Row],[Colonne1]],Tableau124[#All],8,FALSE)</f>
        <v>Associatif</v>
      </c>
      <c r="J37" s="318" t="str">
        <f>VLOOKUP(Tableau17[[#This Row],[Colonne1]],Tableau124[#All],9,FALSE)</f>
        <v>bfc89@addictions-france.org</v>
      </c>
      <c r="K37" s="238" t="str">
        <f>VLOOKUP(Tableau17[[#This Row],[Colonne1]],Tableau124[#All],10,FALSE)</f>
        <v>03 86 27 60 84</v>
      </c>
      <c r="L37" s="318" t="str">
        <f>VLOOKUP(Tableau17[[#This Row],[Colonne1]],Tableau124[#All],11,FALSE)</f>
        <v>www.addictions-france.org</v>
      </c>
      <c r="M37" s="101" t="str">
        <f>VLOOKUP(Tableau17[[#This Row],[Colonne1]],Tableau124[#All],12,FALSE)</f>
        <v>1 lundi sur 2 de 9h à 12h30</v>
      </c>
      <c r="N37" s="101" t="str">
        <f>VLOOKUP(Tableau17[[#This Row],[Colonne1]],Tableau124[#All],13,FALSE)</f>
        <v>Réalisation de consultations avancées</v>
      </c>
    </row>
    <row r="38" spans="2:14" ht="86.45" customHeight="1">
      <c r="B38" s="164">
        <v>209</v>
      </c>
      <c r="C38" s="234" t="str">
        <f>VLOOKUP(Tableau17[[#This Row],[Colonne1]],Tableau124[#All],2,FALSE)</f>
        <v>Yonne (89)</v>
      </c>
      <c r="D38" s="234" t="str">
        <f>VLOOKUP(Tableau17[[#This Row],[Colonne1]],Tableau124[#All],3,FALSE)</f>
        <v>Auxerre</v>
      </c>
      <c r="E38" s="234" t="str">
        <f>VLOOKUP(Tableau17[[#This Row],[Colonne1]],Tableau124[#All],4,FALSE)</f>
        <v>89000</v>
      </c>
      <c r="F38" s="234" t="str">
        <f>VLOOKUP(Tableau17[[#This Row],[Colonne1]],Tableau124[#All],5,FALSE)</f>
        <v>8 Rue Colonel Rozanoff</v>
      </c>
      <c r="G38" s="234" t="str">
        <f>VLOOKUP(Tableau17[[#This Row],[Colonne1]],Tableau124[#All],6,FALSE)</f>
        <v>CJC</v>
      </c>
      <c r="H38" s="234" t="str">
        <f>VLOOKUP(Tableau17[[#This Row],[Colonne1]],Tableau124[#All],7,FALSE)</f>
        <v>CSAPA - Association Addictions France</v>
      </c>
      <c r="I38" s="234" t="str">
        <f>VLOOKUP(Tableau17[[#This Row],[Colonne1]],Tableau124[#All],8,FALSE)</f>
        <v>Associatif</v>
      </c>
      <c r="J38" s="369" t="str">
        <f>VLOOKUP(Tableau17[[#This Row],[Colonne1]],Tableau124[#All],9,FALSE)</f>
        <v>bfc89@addictions-france.org</v>
      </c>
      <c r="K38" s="247" t="str">
        <f>VLOOKUP(Tableau17[[#This Row],[Colonne1]],Tableau124[#All],10,FALSE)</f>
        <v>03.86.51.46.99</v>
      </c>
      <c r="L38" s="369" t="str">
        <f>VLOOKUP(Tableau17[[#This Row],[Colonne1]],Tableau124[#All],11,FALSE)</f>
        <v>www.addictions-france.org</v>
      </c>
      <c r="M38" s="264" t="str">
        <f>VLOOKUP(Tableau17[[#This Row],[Colonne1]],Tableau124[#All],12,FALSE)</f>
        <v>Auxerre
Mercredi de 11h30 à 17h30
Lundi de 17h à 18h
Sens
Mercredi de 9h30 à 17h
Vendredi de 13h30 à 17h</v>
      </c>
      <c r="N38" s="630" t="str">
        <f>VLOOKUP(Tableau17[[#This Row],[Colonne1]],Tableau124[#All],13,FALSE)</f>
        <v xml:space="preserve">- Accueil des familles ; 
- Orientation sur rendez-vous ;
- CJC accessible à la famille et l'entourage ; 
- locaux identiques à ceux du CSAPA. </v>
      </c>
    </row>
    <row r="39" spans="2:14" ht="86.45" customHeight="1">
      <c r="B39" s="164">
        <v>212</v>
      </c>
      <c r="C39" s="221" t="str">
        <f>VLOOKUP(Tableau17[[#This Row],[Colonne1]],Tableau124[#All],2,FALSE)</f>
        <v>Yonne (89)</v>
      </c>
      <c r="D39" s="105" t="str">
        <f>VLOOKUP(Tableau17[[#This Row],[Colonne1]],Tableau124[#All],3,FALSE)</f>
        <v>Auxerre</v>
      </c>
      <c r="E39" s="105">
        <f>VLOOKUP(Tableau17[[#This Row],[Colonne1]],Tableau124[#All],4,FALSE)</f>
        <v>89000</v>
      </c>
      <c r="F39" s="105" t="str">
        <f>VLOOKUP(Tableau17[[#This Row],[Colonne1]],Tableau124[#All],5,FALSE)</f>
        <v>CHRS  4 Rue Thomas Ancel</v>
      </c>
      <c r="G39" s="105" t="str">
        <f>VLOOKUP(Tableau17[[#This Row],[Colonne1]],Tableau124[#All],6,FALSE)</f>
        <v>CSAPA</v>
      </c>
      <c r="H39" s="105" t="str">
        <f>VLOOKUP(Tableau17[[#This Row],[Colonne1]],Tableau124[#All],7,FALSE)</f>
        <v>CSAPA Auxerre</v>
      </c>
      <c r="I39" s="105" t="str">
        <f>VLOOKUP(Tableau17[[#This Row],[Colonne1]],Tableau124[#All],8,FALSE)</f>
        <v>Public</v>
      </c>
      <c r="J39" s="258" t="str">
        <f>VLOOKUP(Tableau17[[#This Row],[Colonne1]],Tableau124[#All],9,FALSE)</f>
        <v xml:space="preserve"> </v>
      </c>
      <c r="K39" s="238" t="str">
        <f>VLOOKUP(Tableau17[[#This Row],[Colonne1]],Tableau124[#All],10,FALSE)</f>
        <v>03 86 51 46 99 -</v>
      </c>
      <c r="L39" s="257" t="str">
        <f>VLOOKUP(Tableau17[[#This Row],[Colonne1]],Tableau124[#All],11,FALSE)</f>
        <v xml:space="preserve"> </v>
      </c>
      <c r="M39" s="101" t="str">
        <f>VLOOKUP(Tableau17[[#This Row],[Colonne1]],Tableau124[#All],12,FALSE)</f>
        <v>Jeudi 9h à 12h30 et 13h30 à 18h</v>
      </c>
      <c r="N39" s="258" t="str">
        <f>VLOOKUP(Tableau17[[#This Row],[Colonne1]],Tableau124[#All],13,FALSE)</f>
        <v xml:space="preserve">  </v>
      </c>
    </row>
  </sheetData>
  <mergeCells count="1">
    <mergeCell ref="C3:O3"/>
  </mergeCells>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B5C9D2B7C9C4687318F4933907C3D" ma:contentTypeVersion="20" ma:contentTypeDescription="Create a new document." ma:contentTypeScope="" ma:versionID="ad3aee4c247e463b442e7e9fc7b59596">
  <xsd:schema xmlns:xsd="http://www.w3.org/2001/XMLSchema" xmlns:xs="http://www.w3.org/2001/XMLSchema" xmlns:p="http://schemas.microsoft.com/office/2006/metadata/properties" xmlns:ns2="01f8134a-aa77-4968-a0eb-205e1d2a711f" xmlns:ns3="958516ac-b269-4bc2-a185-79a854341891" xmlns:ns4="4243d5be-521d-4052-81ca-f0f31ea6f2da" targetNamespace="http://schemas.microsoft.com/office/2006/metadata/properties" ma:root="true" ma:fieldsID="017fac9084027d91a85d827b87314d7d" ns2:_="" ns3:_="" ns4:_="">
    <xsd:import namespace="01f8134a-aa77-4968-a0eb-205e1d2a711f"/>
    <xsd:import namespace="958516ac-b269-4bc2-a185-79a854341891"/>
    <xsd:import namespace="4243d5be-521d-4052-81ca-f0f31ea6f2d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_Flow_SignoffStatus" minOccurs="0"/>
                <xsd:element ref="ns4: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8134a-aa77-4968-a0eb-205e1d2a71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883d318-f35c-4577-94aa-4c8e836d27a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8516ac-b269-4bc2-a185-79a85434189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43d5be-521d-4052-81ca-f0f31ea6f2d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fff9938-0adf-4844-9b2f-06f41226fb88}" ma:internalName="TaxCatchAll" ma:showField="CatchAllData" ma:web="958516ac-b269-4bc2-a185-79a854341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1f8134a-aa77-4968-a0eb-205e1d2a711f" xsi:nil="true"/>
    <SharedWithUsers xmlns="958516ac-b269-4bc2-a185-79a854341891">
      <UserInfo>
        <DisplayName/>
        <AccountId xsi:nil="true"/>
        <AccountType/>
      </UserInfo>
    </SharedWithUsers>
    <lcf76f155ced4ddcb4097134ff3c332f xmlns="01f8134a-aa77-4968-a0eb-205e1d2a711f">
      <Terms xmlns="http://schemas.microsoft.com/office/infopath/2007/PartnerControls"/>
    </lcf76f155ced4ddcb4097134ff3c332f>
    <TaxCatchAll xmlns="4243d5be-521d-4052-81ca-f0f31ea6f2d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075471-6DC9-4C1E-AA3F-0929322523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f8134a-aa77-4968-a0eb-205e1d2a711f"/>
    <ds:schemaRef ds:uri="958516ac-b269-4bc2-a185-79a854341891"/>
    <ds:schemaRef ds:uri="4243d5be-521d-4052-81ca-f0f31ea6f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32503C-A4CD-43AE-90F6-A1D8261EAECA}">
  <ds:schemaRefs>
    <ds:schemaRef ds:uri="http://purl.org/dc/terms/"/>
    <ds:schemaRef ds:uri="http://purl.org/dc/dcmitype/"/>
    <ds:schemaRef ds:uri="http://www.w3.org/XML/1998/namespace"/>
    <ds:schemaRef ds:uri="4243d5be-521d-4052-81ca-f0f31ea6f2da"/>
    <ds:schemaRef ds:uri="958516ac-b269-4bc2-a185-79a854341891"/>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01f8134a-aa77-4968-a0eb-205e1d2a711f"/>
    <ds:schemaRef ds:uri="http://schemas.microsoft.com/office/2006/metadata/properties"/>
  </ds:schemaRefs>
</ds:datastoreItem>
</file>

<file path=customXml/itemProps3.xml><?xml version="1.0" encoding="utf-8"?>
<ds:datastoreItem xmlns:ds="http://schemas.openxmlformats.org/officeDocument/2006/customXml" ds:itemID="{2A837F94-2849-487B-B19D-C5348111DE2B}">
  <ds:schemaRefs>
    <ds:schemaRef ds:uri="http://schemas.microsoft.com/sharepoint/v3/contenttype/forms"/>
  </ds:schemaRefs>
</ds:datastoreItem>
</file>

<file path=docMetadata/LabelInfo.xml><?xml version="1.0" encoding="utf-8"?>
<clbl:labelList xmlns:clbl="http://schemas.microsoft.com/office/2020/mipLabelMetadata">
  <clbl:label id="{deff24bb-2089-4400-8c8e-f71e680378b2}" enabled="0" method="" siteId="{deff24bb-2089-4400-8c8e-f71e680378b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13</vt:i4>
      </vt:variant>
    </vt:vector>
  </HeadingPairs>
  <TitlesOfParts>
    <vt:vector size="31" baseType="lpstr">
      <vt:lpstr>Présentation globale</vt:lpstr>
      <vt:lpstr>Accès via professionnels </vt:lpstr>
      <vt:lpstr>Cotes d'Or (21)</vt:lpstr>
      <vt:lpstr>Jura (39)</vt:lpstr>
      <vt:lpstr>Nievre (58)</vt:lpstr>
      <vt:lpstr>Doubs (25)</vt:lpstr>
      <vt:lpstr>Haute-Saône (70)</vt:lpstr>
      <vt:lpstr>Saône-et-Loire (71)</vt:lpstr>
      <vt:lpstr>Yonne (89)</vt:lpstr>
      <vt:lpstr>Territoire de Belfort (90)</vt:lpstr>
      <vt:lpstr>Nord-Franche-Comté</vt:lpstr>
      <vt:lpstr>Sevrage simple</vt:lpstr>
      <vt:lpstr>Soins complexes</vt:lpstr>
      <vt:lpstr>ELSA</vt:lpstr>
      <vt:lpstr>Hospi de jour</vt:lpstr>
      <vt:lpstr>Penitentier</vt:lpstr>
      <vt:lpstr>SSRA2</vt:lpstr>
      <vt:lpstr>Acces direct</vt:lpstr>
      <vt:lpstr>hospijour</vt:lpstr>
      <vt:lpstr>medico</vt:lpstr>
      <vt:lpstr>'Hospi de jour'!péni</vt:lpstr>
      <vt:lpstr>Penitentier!péni</vt:lpstr>
      <vt:lpstr>péni</vt:lpstr>
      <vt:lpstr>sanitaire</vt:lpstr>
      <vt:lpstr>sommaire</vt:lpstr>
      <vt:lpstr>Penitentier!SSRA2</vt:lpstr>
      <vt:lpstr>SSRA2</vt:lpstr>
      <vt:lpstr>Penitentier!ssrasani</vt:lpstr>
      <vt:lpstr>ssrasani</vt:lpstr>
      <vt:lpstr>'Acces direct'!toutes_ss</vt:lpstr>
      <vt:lpstr>toutes_ss</vt:lpstr>
    </vt:vector>
  </TitlesOfParts>
  <Manager/>
  <Company>KPMG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Romeas, Alexandre</dc:creator>
  <cp:keywords/>
  <dc:description/>
  <cp:lastModifiedBy>GNECCHI, Delphine (ARS-BFC/BFC/DIRCOM)</cp:lastModifiedBy>
  <cp:revision/>
  <dcterms:created xsi:type="dcterms:W3CDTF">2021-09-09T06:14:05Z</dcterms:created>
  <dcterms:modified xsi:type="dcterms:W3CDTF">2023-09-18T08:22:25Z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0x0101004F2B5C9D2B7C9C4687318F4933907C3D</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